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gislaine-pc\Users\COMPRAS &amp; LICITAÇÕES\Desktop\LICITAÇÃO\EDITAIS 2026\Concorrência\Ampliação Pronto Atendimento\"/>
    </mc:Choice>
  </mc:AlternateContent>
  <xr:revisionPtr revIDLastSave="0" documentId="13_ncr:1_{CC26401F-5308-4FDD-8B33-BDA19679EFD2}" xr6:coauthVersionLast="47" xr6:coauthVersionMax="47" xr10:uidLastSave="{00000000-0000-0000-0000-000000000000}"/>
  <bookViews>
    <workbookView xWindow="-120" yWindow="-120" windowWidth="29040" windowHeight="15840" xr2:uid="{00000000-000D-0000-FFFF-FFFF00000000}"/>
  </bookViews>
  <sheets>
    <sheet name="ORÇAMENTO" sheetId="28" r:id="rId1"/>
    <sheet name="CRONOGRAMA" sheetId="29" r:id="rId2"/>
    <sheet name="COMPOSIÇÃO" sheetId="32" r:id="rId3"/>
    <sheet name="MEMORIA DE CÁLCULO" sheetId="30" r:id="rId4"/>
    <sheet name="BDI" sheetId="33" r:id="rId5"/>
  </sheets>
  <definedNames>
    <definedName name="_xlnm.Print_Area" localSheetId="2">COMPOSIÇÃO!$A$1:$H$42</definedName>
    <definedName name="_xlnm.Print_Area" localSheetId="1">CRONOGRAMA!$A$1:$K$52</definedName>
    <definedName name="_xlnm.Print_Area" localSheetId="3">'MEMORIA DE CÁLCULO'!$A$1:$M$2201</definedName>
    <definedName name="_xlnm.Print_Area" localSheetId="0">ORÇAMENTO!$A$1:$I$268</definedName>
    <definedName name="_xlnm.Database">TEXT(#REF!,"mm-aaaa")</definedName>
    <definedName name="BDI.Opcao" hidden="1">#REF!</definedName>
    <definedName name="BDI.TipoObra" hidden="1">#REF!</definedName>
    <definedName name="DESONERACAO" hidden="1">IF(OR(Import.Desoneracao="DESONERADO",Import.Desoneracao="SIM"),"SIM","NÃO")</definedName>
    <definedName name="Fonte">#REF!</definedName>
    <definedName name="Import.Apelido" hidden="1">#REF!</definedName>
    <definedName name="Import.DescLote" hidden="1">#REF!</definedName>
    <definedName name="Import.Desoneracao" hidden="1">OFFSET(#REF!,0,-1)</definedName>
    <definedName name="Import.Município" hidden="1">#REF!</definedName>
    <definedName name="nao">#REF!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59" i="30" l="1"/>
  <c r="E153" i="30" l="1"/>
  <c r="E1286" i="30" l="1"/>
  <c r="M1622" i="30"/>
  <c r="E1756" i="30"/>
  <c r="M1756" i="30" s="1"/>
  <c r="E1759" i="30"/>
  <c r="M1759" i="30" s="1"/>
  <c r="H150" i="28"/>
  <c r="I150" i="28" s="1"/>
  <c r="H151" i="28"/>
  <c r="I151" i="28" s="1"/>
  <c r="H152" i="28"/>
  <c r="I152" i="28" s="1"/>
  <c r="H153" i="28"/>
  <c r="I153" i="28"/>
  <c r="H154" i="28"/>
  <c r="I154" i="28" s="1"/>
  <c r="H155" i="28"/>
  <c r="I155" i="28" s="1"/>
  <c r="H156" i="28"/>
  <c r="F155" i="28"/>
  <c r="H119" i="28"/>
  <c r="I119" i="28" s="1"/>
  <c r="H118" i="28"/>
  <c r="I118" i="28" s="1"/>
  <c r="H114" i="28"/>
  <c r="I114" i="28" s="1"/>
  <c r="F107" i="28"/>
  <c r="F106" i="28"/>
  <c r="H231" i="28"/>
  <c r="H232" i="28"/>
  <c r="H233" i="28"/>
  <c r="H234" i="28"/>
  <c r="H235" i="28"/>
  <c r="M1853" i="30"/>
  <c r="C1853" i="30"/>
  <c r="A1853" i="30"/>
  <c r="M1873" i="30"/>
  <c r="M1870" i="30"/>
  <c r="M1867" i="30"/>
  <c r="M1864" i="30"/>
  <c r="M1861" i="30"/>
  <c r="M1858" i="30"/>
  <c r="M1855" i="30"/>
  <c r="M1845" i="30"/>
  <c r="M1842" i="30"/>
  <c r="M1839" i="30"/>
  <c r="M1836" i="30"/>
  <c r="M1833" i="30"/>
  <c r="M1830" i="30"/>
  <c r="M1828" i="30"/>
  <c r="C1828" i="30"/>
  <c r="A1828" i="30"/>
  <c r="M1848" i="30"/>
  <c r="M1821" i="30"/>
  <c r="C1821" i="30"/>
  <c r="A1821" i="30"/>
  <c r="M1814" i="30"/>
  <c r="C1814" i="30"/>
  <c r="A1814" i="30"/>
  <c r="M1816" i="30"/>
  <c r="M1819" i="30" s="1"/>
  <c r="M1804" i="30"/>
  <c r="C1804" i="30"/>
  <c r="A1804" i="30"/>
  <c r="M1791" i="30"/>
  <c r="C1791" i="30"/>
  <c r="A1791" i="30"/>
  <c r="M1876" i="30" l="1"/>
  <c r="F235" i="28" s="1"/>
  <c r="I235" i="28" s="1"/>
  <c r="M1851" i="30"/>
  <c r="F234" i="28" s="1"/>
  <c r="I234" i="28" s="1"/>
  <c r="F232" i="28"/>
  <c r="I232" i="28" s="1"/>
  <c r="E2010" i="30" l="1"/>
  <c r="E1277" i="30"/>
  <c r="M1277" i="30" s="1"/>
  <c r="E1274" i="30"/>
  <c r="E1271" i="30"/>
  <c r="M1271" i="30" s="1"/>
  <c r="E1268" i="30"/>
  <c r="M1268" i="30" s="1"/>
  <c r="E1261" i="30"/>
  <c r="M1261" i="30" s="1"/>
  <c r="E1258" i="30"/>
  <c r="E1255" i="30"/>
  <c r="M1255" i="30" s="1"/>
  <c r="E1252" i="30"/>
  <c r="M1252" i="30" s="1"/>
  <c r="G1148" i="30"/>
  <c r="M1148" i="30" s="1"/>
  <c r="E1145" i="30"/>
  <c r="G1145" i="30"/>
  <c r="M2010" i="30" l="1"/>
  <c r="M1143" i="30"/>
  <c r="C1143" i="30"/>
  <c r="A1143" i="30"/>
  <c r="H189" i="28"/>
  <c r="M1145" i="30" l="1"/>
  <c r="E549" i="30"/>
  <c r="M549" i="30" s="1"/>
  <c r="E543" i="30"/>
  <c r="M543" i="30" s="1"/>
  <c r="E546" i="30"/>
  <c r="E540" i="30"/>
  <c r="M1722" i="30"/>
  <c r="M1612" i="30"/>
  <c r="M1151" i="30" l="1"/>
  <c r="I1258" i="30"/>
  <c r="M1258" i="30" s="1"/>
  <c r="M1264" i="30" s="1"/>
  <c r="I1274" i="30"/>
  <c r="M1274" i="30" s="1"/>
  <c r="M1280" i="30" s="1"/>
  <c r="I546" i="30"/>
  <c r="M546" i="30" s="1"/>
  <c r="F189" i="28"/>
  <c r="I189" i="28" s="1"/>
  <c r="M1632" i="30"/>
  <c r="M1629" i="30"/>
  <c r="M1519" i="30"/>
  <c r="M1522" i="30"/>
  <c r="M1452" i="30"/>
  <c r="M1421" i="30"/>
  <c r="M2135" i="30"/>
  <c r="M2132" i="30"/>
  <c r="M2129" i="30"/>
  <c r="M2126" i="30"/>
  <c r="M2123" i="30"/>
  <c r="M2120" i="30"/>
  <c r="M2117" i="30"/>
  <c r="M2114" i="30"/>
  <c r="M2111" i="30"/>
  <c r="M2108" i="30"/>
  <c r="M2105" i="30"/>
  <c r="M2102" i="30"/>
  <c r="M2099" i="30"/>
  <c r="E2096" i="30"/>
  <c r="M2096" i="30" s="1"/>
  <c r="M2093" i="30"/>
  <c r="M2090" i="30"/>
  <c r="M2087" i="30"/>
  <c r="M2084" i="30"/>
  <c r="M2081" i="30"/>
  <c r="M2078" i="30"/>
  <c r="M2075" i="30"/>
  <c r="M2072" i="30"/>
  <c r="M2069" i="30"/>
  <c r="M2066" i="30"/>
  <c r="E2047" i="30"/>
  <c r="M2041" i="30"/>
  <c r="M2032" i="30"/>
  <c r="M2029" i="30"/>
  <c r="E1905" i="30"/>
  <c r="H230" i="28"/>
  <c r="E1889" i="30"/>
  <c r="E1882" i="30"/>
  <c r="M1809" i="30"/>
  <c r="M1806" i="30"/>
  <c r="M1799" i="30"/>
  <c r="M1796" i="30"/>
  <c r="H252" i="28"/>
  <c r="H253" i="28"/>
  <c r="H254" i="28"/>
  <c r="H255" i="28"/>
  <c r="H256" i="28"/>
  <c r="H257" i="28"/>
  <c r="M2138" i="30" l="1"/>
  <c r="M1812" i="30"/>
  <c r="F231" i="28" s="1"/>
  <c r="I231" i="28" s="1"/>
  <c r="M2189" i="30"/>
  <c r="M2186" i="30"/>
  <c r="M2180" i="30"/>
  <c r="M2183" i="30"/>
  <c r="M1986" i="30"/>
  <c r="M2173" i="30"/>
  <c r="M2176" i="30" s="1"/>
  <c r="M2166" i="30"/>
  <c r="M2059" i="30"/>
  <c r="M2056" i="30"/>
  <c r="M2053" i="30"/>
  <c r="M2050" i="30"/>
  <c r="M2047" i="30"/>
  <c r="M2044" i="30"/>
  <c r="M2163" i="30"/>
  <c r="M2035" i="30"/>
  <c r="M2160" i="30"/>
  <c r="M2157" i="30"/>
  <c r="M2154" i="30"/>
  <c r="M2151" i="30"/>
  <c r="M2148" i="30"/>
  <c r="M2038" i="30"/>
  <c r="M2145" i="30"/>
  <c r="M2142" i="30"/>
  <c r="M2026" i="30"/>
  <c r="M2023" i="30"/>
  <c r="M2020" i="30"/>
  <c r="M2017" i="30"/>
  <c r="M2007" i="30"/>
  <c r="M2004" i="30"/>
  <c r="M2001" i="30"/>
  <c r="M1998" i="30"/>
  <c r="M1995" i="30"/>
  <c r="E1989" i="30"/>
  <c r="M2178" i="30"/>
  <c r="C2178" i="30"/>
  <c r="A2178" i="30"/>
  <c r="M2171" i="30"/>
  <c r="C2171" i="30"/>
  <c r="A2171" i="30"/>
  <c r="E1318" i="30"/>
  <c r="E1753" i="30"/>
  <c r="M1753" i="30" s="1"/>
  <c r="E1735" i="30"/>
  <c r="M1735" i="30" s="1"/>
  <c r="E1738" i="30"/>
  <c r="M1738" i="30" s="1"/>
  <c r="E1732" i="30"/>
  <c r="E1729" i="30"/>
  <c r="M1729" i="30" s="1"/>
  <c r="M1719" i="30"/>
  <c r="M1716" i="30"/>
  <c r="M1713" i="30"/>
  <c r="M1710" i="30"/>
  <c r="M1707" i="30"/>
  <c r="M1704" i="30"/>
  <c r="M1701" i="30"/>
  <c r="M1698" i="30"/>
  <c r="M1695" i="30"/>
  <c r="M1692" i="30"/>
  <c r="M1689" i="30"/>
  <c r="M1686" i="30"/>
  <c r="M1683" i="30"/>
  <c r="M1680" i="30"/>
  <c r="M1677" i="30"/>
  <c r="M1674" i="30"/>
  <c r="M1671" i="30"/>
  <c r="M1668" i="30"/>
  <c r="M1665" i="30"/>
  <c r="M1662" i="30"/>
  <c r="M1659" i="30"/>
  <c r="M1656" i="30"/>
  <c r="M1653" i="30"/>
  <c r="M1650" i="30"/>
  <c r="M1647" i="30"/>
  <c r="M1644" i="30"/>
  <c r="M1641" i="30"/>
  <c r="M1638" i="30"/>
  <c r="M1635" i="30"/>
  <c r="M1609" i="30"/>
  <c r="M1606" i="30"/>
  <c r="M1603" i="30"/>
  <c r="M1600" i="30"/>
  <c r="M1597" i="30"/>
  <c r="M1594" i="30"/>
  <c r="M1591" i="30"/>
  <c r="M1588" i="30"/>
  <c r="M1585" i="30"/>
  <c r="M1582" i="30"/>
  <c r="M1579" i="30"/>
  <c r="M1576" i="30"/>
  <c r="M1573" i="30"/>
  <c r="M1570" i="30"/>
  <c r="M1567" i="30"/>
  <c r="M1564" i="30"/>
  <c r="M1561" i="30"/>
  <c r="M1558" i="30"/>
  <c r="M1555" i="30"/>
  <c r="M1552" i="30"/>
  <c r="M1549" i="30"/>
  <c r="M1546" i="30"/>
  <c r="M1543" i="30"/>
  <c r="M1540" i="30"/>
  <c r="M1537" i="30"/>
  <c r="M1534" i="30"/>
  <c r="M1531" i="30"/>
  <c r="M1528" i="30"/>
  <c r="M1525" i="30"/>
  <c r="M1512" i="30"/>
  <c r="M1509" i="30"/>
  <c r="M1506" i="30"/>
  <c r="M1390" i="30"/>
  <c r="M1387" i="30"/>
  <c r="M1372" i="30"/>
  <c r="M1369" i="30"/>
  <c r="M1366" i="30"/>
  <c r="M1363" i="30"/>
  <c r="M1360" i="30"/>
  <c r="M1357" i="30"/>
  <c r="M1350" i="30"/>
  <c r="M1347" i="30"/>
  <c r="M1344" i="30"/>
  <c r="M1341" i="30"/>
  <c r="M1338" i="30"/>
  <c r="M1335" i="30"/>
  <c r="M1325" i="30"/>
  <c r="M1328" i="30" s="1"/>
  <c r="E1309" i="30"/>
  <c r="E1306" i="30"/>
  <c r="E1299" i="30"/>
  <c r="E1296" i="30"/>
  <c r="E1289" i="30"/>
  <c r="M1289" i="30" s="1"/>
  <c r="M1286" i="30"/>
  <c r="E1126" i="30"/>
  <c r="M1126" i="30" s="1"/>
  <c r="E1123" i="30"/>
  <c r="M1123" i="30" s="1"/>
  <c r="E1113" i="30"/>
  <c r="E1116" i="30"/>
  <c r="M1116" i="30" s="1"/>
  <c r="E1245" i="30"/>
  <c r="M1245" i="30" s="1"/>
  <c r="E1242" i="30"/>
  <c r="M1242" i="30" s="1"/>
  <c r="E1239" i="30"/>
  <c r="M1239" i="30" s="1"/>
  <c r="E1236" i="30"/>
  <c r="M1236" i="30" s="1"/>
  <c r="E1233" i="30"/>
  <c r="M1233" i="30" s="1"/>
  <c r="E1230" i="30"/>
  <c r="M1230" i="30" s="1"/>
  <c r="E1227" i="30"/>
  <c r="M1227" i="30" s="1"/>
  <c r="E1224" i="30"/>
  <c r="M1224" i="30" s="1"/>
  <c r="E1221" i="30"/>
  <c r="M1221" i="30" s="1"/>
  <c r="E1214" i="30"/>
  <c r="M1214" i="30" s="1"/>
  <c r="E1211" i="30"/>
  <c r="M1211" i="30" s="1"/>
  <c r="E1208" i="30"/>
  <c r="M1208" i="30" s="1"/>
  <c r="E1205" i="30"/>
  <c r="M1205" i="30" s="1"/>
  <c r="E1202" i="30"/>
  <c r="M1202" i="30" s="1"/>
  <c r="E1199" i="30"/>
  <c r="M1199" i="30" s="1"/>
  <c r="E1196" i="30"/>
  <c r="M1196" i="30" s="1"/>
  <c r="E1193" i="30"/>
  <c r="M1193" i="30" s="1"/>
  <c r="E1190" i="30"/>
  <c r="M1190" i="30" s="1"/>
  <c r="E1180" i="30"/>
  <c r="M1180" i="30" s="1"/>
  <c r="E1171" i="30"/>
  <c r="M1171" i="30" s="1"/>
  <c r="E1168" i="30"/>
  <c r="M1168" i="30" s="1"/>
  <c r="E1165" i="30"/>
  <c r="M1165" i="30" s="1"/>
  <c r="E1183" i="30"/>
  <c r="M1183" i="30" s="1"/>
  <c r="E1177" i="30"/>
  <c r="M1177" i="30" s="1"/>
  <c r="E1174" i="30"/>
  <c r="M1174" i="30" s="1"/>
  <c r="E1162" i="30"/>
  <c r="M1162" i="30" s="1"/>
  <c r="E1159" i="30"/>
  <c r="M1159" i="30" s="1"/>
  <c r="M1138" i="30"/>
  <c r="M1135" i="30"/>
  <c r="E1094" i="30"/>
  <c r="G1080" i="30"/>
  <c r="E1080" i="30"/>
  <c r="G1077" i="30"/>
  <c r="E1077" i="30"/>
  <c r="G1074" i="30"/>
  <c r="E1074" i="30"/>
  <c r="E1068" i="30"/>
  <c r="E1065" i="30"/>
  <c r="G1068" i="30"/>
  <c r="G1065" i="30"/>
  <c r="E597" i="30"/>
  <c r="E594" i="30"/>
  <c r="E588" i="30"/>
  <c r="E585" i="30"/>
  <c r="E575" i="30"/>
  <c r="G1071" i="30"/>
  <c r="E1071" i="30"/>
  <c r="G1062" i="30"/>
  <c r="E1062" i="30"/>
  <c r="E1055" i="30"/>
  <c r="M1055" i="30" s="1"/>
  <c r="E1052" i="30"/>
  <c r="M1052" i="30" s="1"/>
  <c r="E1045" i="30"/>
  <c r="M1045" i="30" s="1"/>
  <c r="E1042" i="30"/>
  <c r="M1042" i="30" s="1"/>
  <c r="E1039" i="30"/>
  <c r="M1039" i="30" s="1"/>
  <c r="E1036" i="30"/>
  <c r="M1036" i="30" s="1"/>
  <c r="E1033" i="30"/>
  <c r="M1033" i="30" s="1"/>
  <c r="E1030" i="30"/>
  <c r="M1030" i="30" s="1"/>
  <c r="E1027" i="30"/>
  <c r="M1027" i="30" s="1"/>
  <c r="E1024" i="30"/>
  <c r="M1024" i="30" s="1"/>
  <c r="E1021" i="30"/>
  <c r="M1021" i="30" s="1"/>
  <c r="E1014" i="30"/>
  <c r="E970" i="30"/>
  <c r="M970" i="30" s="1"/>
  <c r="E955" i="30"/>
  <c r="E1004" i="30"/>
  <c r="M1004" i="30" s="1"/>
  <c r="E1001" i="30"/>
  <c r="M1001" i="30" s="1"/>
  <c r="E973" i="30"/>
  <c r="M973" i="30" s="1"/>
  <c r="E1011" i="30"/>
  <c r="E986" i="30"/>
  <c r="M986" i="30" s="1"/>
  <c r="E998" i="30"/>
  <c r="M998" i="30" s="1"/>
  <c r="E995" i="30"/>
  <c r="M995" i="30" s="1"/>
  <c r="E992" i="30"/>
  <c r="M992" i="30" s="1"/>
  <c r="E989" i="30"/>
  <c r="M989" i="30" s="1"/>
  <c r="E983" i="30"/>
  <c r="M983" i="30" s="1"/>
  <c r="E980" i="30"/>
  <c r="M980" i="30" s="1"/>
  <c r="E961" i="30"/>
  <c r="E964" i="30"/>
  <c r="M964" i="30" s="1"/>
  <c r="E967" i="30"/>
  <c r="M967" i="30" s="1"/>
  <c r="E952" i="30"/>
  <c r="M952" i="30" s="1"/>
  <c r="E949" i="30"/>
  <c r="G938" i="30"/>
  <c r="G935" i="30"/>
  <c r="M1186" i="30" l="1"/>
  <c r="M1375" i="30"/>
  <c r="M1615" i="30"/>
  <c r="M1725" i="30"/>
  <c r="M1141" i="30"/>
  <c r="M1217" i="30"/>
  <c r="M1248" i="30"/>
  <c r="M1353" i="30"/>
  <c r="M2062" i="30"/>
  <c r="M2169" i="30"/>
  <c r="M2192" i="30"/>
  <c r="M1292" i="30"/>
  <c r="M1058" i="30"/>
  <c r="M1048" i="30"/>
  <c r="M1007" i="30"/>
  <c r="M1129" i="30"/>
  <c r="E121" i="30"/>
  <c r="M121" i="30" s="1"/>
  <c r="E105" i="30"/>
  <c r="F257" i="28"/>
  <c r="I257" i="28" s="1"/>
  <c r="F254" i="28"/>
  <c r="I254" i="28" s="1"/>
  <c r="F256" i="28"/>
  <c r="I256" i="28" s="1"/>
  <c r="M1068" i="30"/>
  <c r="M1080" i="30"/>
  <c r="M1077" i="30"/>
  <c r="M1062" i="30"/>
  <c r="M1074" i="30"/>
  <c r="M1065" i="30"/>
  <c r="M1071" i="30"/>
  <c r="E938" i="30"/>
  <c r="E935" i="30"/>
  <c r="M935" i="30" s="1"/>
  <c r="M932" i="30"/>
  <c r="M929" i="30"/>
  <c r="M926" i="30"/>
  <c r="M923" i="30"/>
  <c r="M920" i="30"/>
  <c r="M917" i="30"/>
  <c r="M914" i="30"/>
  <c r="M911" i="30"/>
  <c r="M902" i="30"/>
  <c r="M899" i="30"/>
  <c r="M896" i="30"/>
  <c r="M881" i="30"/>
  <c r="C881" i="30"/>
  <c r="A881" i="30"/>
  <c r="M889" i="30"/>
  <c r="M886" i="30"/>
  <c r="M883" i="30"/>
  <c r="M867" i="30"/>
  <c r="C867" i="30"/>
  <c r="A867" i="30"/>
  <c r="M875" i="30"/>
  <c r="M872" i="30"/>
  <c r="M869" i="30"/>
  <c r="M860" i="30"/>
  <c r="C860" i="30"/>
  <c r="A860" i="30"/>
  <c r="M862" i="30"/>
  <c r="M865" i="30" s="1"/>
  <c r="M853" i="30"/>
  <c r="C853" i="30"/>
  <c r="A853" i="30"/>
  <c r="M855" i="30"/>
  <c r="M858" i="30" s="1"/>
  <c r="M840" i="30"/>
  <c r="C840" i="30"/>
  <c r="A840" i="30"/>
  <c r="M848" i="30"/>
  <c r="M845" i="30"/>
  <c r="M842" i="30"/>
  <c r="M833" i="30"/>
  <c r="C833" i="30"/>
  <c r="A833" i="30"/>
  <c r="M835" i="30"/>
  <c r="M823" i="30"/>
  <c r="C823" i="30"/>
  <c r="A823" i="30"/>
  <c r="M828" i="30"/>
  <c r="M825" i="30"/>
  <c r="M818" i="30"/>
  <c r="M813" i="30"/>
  <c r="C813" i="30"/>
  <c r="A813" i="30"/>
  <c r="M815" i="30"/>
  <c r="H132" i="28"/>
  <c r="H133" i="28"/>
  <c r="H134" i="28"/>
  <c r="H135" i="28"/>
  <c r="H136" i="28"/>
  <c r="H137" i="28"/>
  <c r="H138" i="28"/>
  <c r="H139" i="28"/>
  <c r="H140" i="28"/>
  <c r="I140" i="28" s="1"/>
  <c r="H141" i="28"/>
  <c r="I141" i="28" s="1"/>
  <c r="H142" i="28"/>
  <c r="I142" i="28" s="1"/>
  <c r="H143" i="28"/>
  <c r="I143" i="28" s="1"/>
  <c r="H144" i="28"/>
  <c r="H145" i="28"/>
  <c r="I145" i="28" s="1"/>
  <c r="H146" i="28"/>
  <c r="I146" i="28" s="1"/>
  <c r="H96" i="28"/>
  <c r="I96" i="28" s="1"/>
  <c r="H97" i="28"/>
  <c r="I97" i="28" s="1"/>
  <c r="H98" i="28"/>
  <c r="I98" i="28" s="1"/>
  <c r="H101" i="28"/>
  <c r="I101" i="28" s="1"/>
  <c r="H102" i="28"/>
  <c r="I102" i="28" s="1"/>
  <c r="H103" i="28"/>
  <c r="I103" i="28" s="1"/>
  <c r="H104" i="28"/>
  <c r="I104" i="28" s="1"/>
  <c r="H105" i="28"/>
  <c r="I105" i="28" s="1"/>
  <c r="H106" i="28"/>
  <c r="H107" i="28"/>
  <c r="H108" i="28"/>
  <c r="I108" i="28" s="1"/>
  <c r="H109" i="28"/>
  <c r="I109" i="28" s="1"/>
  <c r="H110" i="28"/>
  <c r="I110" i="28" s="1"/>
  <c r="H111" i="28"/>
  <c r="I111" i="28" s="1"/>
  <c r="H112" i="28"/>
  <c r="I112" i="28" s="1"/>
  <c r="H113" i="28"/>
  <c r="I113" i="28" s="1"/>
  <c r="H115" i="28"/>
  <c r="I115" i="28" s="1"/>
  <c r="H116" i="28"/>
  <c r="I116" i="28" s="1"/>
  <c r="H117" i="28"/>
  <c r="I117" i="28" s="1"/>
  <c r="H120" i="28"/>
  <c r="I120" i="28" s="1"/>
  <c r="H121" i="28"/>
  <c r="I121" i="28" s="1"/>
  <c r="H122" i="28"/>
  <c r="I122" i="28" s="1"/>
  <c r="H123" i="28"/>
  <c r="I123" i="28" s="1"/>
  <c r="H124" i="28"/>
  <c r="I124" i="28" s="1"/>
  <c r="H125" i="28"/>
  <c r="I125" i="28" s="1"/>
  <c r="H126" i="28"/>
  <c r="I126" i="28" s="1"/>
  <c r="H127" i="28"/>
  <c r="I127" i="28" s="1"/>
  <c r="H76" i="28"/>
  <c r="I76" i="28" s="1"/>
  <c r="H77" i="28"/>
  <c r="H78" i="28"/>
  <c r="H79" i="28"/>
  <c r="H80" i="28"/>
  <c r="H81" i="28"/>
  <c r="H82" i="28"/>
  <c r="H83" i="28"/>
  <c r="H84" i="28"/>
  <c r="H12" i="28"/>
  <c r="H13" i="28"/>
  <c r="H14" i="28"/>
  <c r="H131" i="28"/>
  <c r="M879" i="30" l="1"/>
  <c r="F137" i="28" s="1"/>
  <c r="I137" i="28" s="1"/>
  <c r="M905" i="30"/>
  <c r="M1083" i="30"/>
  <c r="M831" i="30"/>
  <c r="M851" i="30"/>
  <c r="F134" i="28" s="1"/>
  <c r="M892" i="30"/>
  <c r="F138" i="28" s="1"/>
  <c r="I138" i="28" s="1"/>
  <c r="M821" i="30"/>
  <c r="F131" i="28" s="1"/>
  <c r="I131" i="28" s="1"/>
  <c r="M838" i="30"/>
  <c r="F133" i="28" s="1"/>
  <c r="I133" i="28" s="1"/>
  <c r="M938" i="30"/>
  <c r="M941" i="30" s="1"/>
  <c r="F139" i="28"/>
  <c r="I139" i="28" s="1"/>
  <c r="F136" i="28"/>
  <c r="I136" i="28" s="1"/>
  <c r="F135" i="28"/>
  <c r="I135" i="28" s="1"/>
  <c r="F156" i="28"/>
  <c r="I156" i="28" s="1"/>
  <c r="I107" i="28"/>
  <c r="I106" i="28"/>
  <c r="E100" i="28"/>
  <c r="D100" i="28"/>
  <c r="C100" i="28"/>
  <c r="H32" i="32"/>
  <c r="H31" i="32"/>
  <c r="E99" i="28"/>
  <c r="D99" i="28"/>
  <c r="C99" i="28"/>
  <c r="H24" i="32"/>
  <c r="H23" i="32"/>
  <c r="F132" i="28" l="1"/>
  <c r="I132" i="28" s="1"/>
  <c r="F144" i="28"/>
  <c r="I144" i="28" s="1"/>
  <c r="I134" i="28"/>
  <c r="H33" i="32"/>
  <c r="G100" i="28" s="1"/>
  <c r="H100" i="28" s="1"/>
  <c r="I100" i="28" s="1"/>
  <c r="H25" i="32"/>
  <c r="G99" i="28" s="1"/>
  <c r="H99" i="28" s="1"/>
  <c r="I99" i="28" s="1"/>
  <c r="G128" i="28" s="1"/>
  <c r="G147" i="28" l="1"/>
  <c r="E128" i="28"/>
  <c r="M760" i="30"/>
  <c r="C760" i="30"/>
  <c r="A760" i="30"/>
  <c r="M762" i="30"/>
  <c r="E798" i="30"/>
  <c r="M727" i="30"/>
  <c r="A725" i="30"/>
  <c r="E85" i="28"/>
  <c r="M725" i="30" s="1"/>
  <c r="D85" i="28"/>
  <c r="C725" i="30" s="1"/>
  <c r="C85" i="28"/>
  <c r="M720" i="30"/>
  <c r="M713" i="30"/>
  <c r="M718" i="30"/>
  <c r="C718" i="30"/>
  <c r="A718" i="30"/>
  <c r="M672" i="30"/>
  <c r="M670" i="30"/>
  <c r="C670" i="30"/>
  <c r="A670" i="30"/>
  <c r="M663" i="30"/>
  <c r="C663" i="30"/>
  <c r="A663" i="30"/>
  <c r="M658" i="30"/>
  <c r="M655" i="30"/>
  <c r="M652" i="30"/>
  <c r="M649" i="30"/>
  <c r="M646" i="30"/>
  <c r="M643" i="30"/>
  <c r="M640" i="30"/>
  <c r="M638" i="30"/>
  <c r="C638" i="30"/>
  <c r="A638" i="30"/>
  <c r="M613" i="30"/>
  <c r="C613" i="30"/>
  <c r="A613" i="30"/>
  <c r="M711" i="30"/>
  <c r="C711" i="30"/>
  <c r="A711" i="30"/>
  <c r="H75" i="28"/>
  <c r="M730" i="30" l="1"/>
  <c r="F85" i="28" s="1"/>
  <c r="M661" i="30"/>
  <c r="M675" i="30"/>
  <c r="F78" i="28" s="1"/>
  <c r="I78" i="28" s="1"/>
  <c r="M716" i="30"/>
  <c r="F83" i="28" s="1"/>
  <c r="I83" i="28" s="1"/>
  <c r="M765" i="30"/>
  <c r="F90" i="28" s="1"/>
  <c r="M723" i="30"/>
  <c r="F84" i="28" s="1"/>
  <c r="I84" i="28" s="1"/>
  <c r="M798" i="30"/>
  <c r="M795" i="30"/>
  <c r="M792" i="30"/>
  <c r="M785" i="30"/>
  <c r="M782" i="30"/>
  <c r="M779" i="30"/>
  <c r="M772" i="30"/>
  <c r="M769" i="30"/>
  <c r="M755" i="30"/>
  <c r="M752" i="30"/>
  <c r="M749" i="30"/>
  <c r="H90" i="28"/>
  <c r="H91" i="28"/>
  <c r="H92" i="28"/>
  <c r="H93" i="28"/>
  <c r="H88" i="28"/>
  <c r="M742" i="30"/>
  <c r="M734" i="30"/>
  <c r="C734" i="30"/>
  <c r="A734" i="30"/>
  <c r="M739" i="30"/>
  <c r="M736" i="30"/>
  <c r="I90" i="28" l="1"/>
  <c r="M775" i="30"/>
  <c r="M758" i="30"/>
  <c r="M801" i="30"/>
  <c r="M745" i="30"/>
  <c r="F88" i="28" s="1"/>
  <c r="I88" i="28" s="1"/>
  <c r="M788" i="30"/>
  <c r="M696" i="30"/>
  <c r="E86" i="28"/>
  <c r="M665" i="30"/>
  <c r="M633" i="30"/>
  <c r="M630" i="30"/>
  <c r="M627" i="30"/>
  <c r="M624" i="30"/>
  <c r="M621" i="30"/>
  <c r="M618" i="30"/>
  <c r="E606" i="30"/>
  <c r="E603" i="30"/>
  <c r="M603" i="30" s="1"/>
  <c r="M597" i="30"/>
  <c r="E578" i="30"/>
  <c r="M578" i="30" s="1"/>
  <c r="E600" i="30"/>
  <c r="M600" i="30" s="1"/>
  <c r="E591" i="30"/>
  <c r="M591" i="30" s="1"/>
  <c r="M588" i="30"/>
  <c r="M594" i="30"/>
  <c r="M585" i="30"/>
  <c r="M575" i="30"/>
  <c r="E572" i="30"/>
  <c r="M572" i="30" s="1"/>
  <c r="E569" i="30"/>
  <c r="M559" i="30"/>
  <c r="E533" i="30"/>
  <c r="M533" i="30" s="1"/>
  <c r="E508" i="30"/>
  <c r="M508" i="30" s="1"/>
  <c r="M520" i="30"/>
  <c r="M523" i="30"/>
  <c r="E517" i="30"/>
  <c r="M517" i="30" s="1"/>
  <c r="E511" i="30"/>
  <c r="H68" i="28"/>
  <c r="M528" i="30"/>
  <c r="C528" i="30"/>
  <c r="A528" i="30"/>
  <c r="M668" i="30" l="1"/>
  <c r="F77" i="28" s="1"/>
  <c r="I77" i="28" s="1"/>
  <c r="M505" i="30"/>
  <c r="M493" i="30"/>
  <c r="M490" i="30"/>
  <c r="M487" i="30"/>
  <c r="E484" i="30"/>
  <c r="E481" i="30"/>
  <c r="M481" i="30" s="1"/>
  <c r="M461" i="30"/>
  <c r="E455" i="30"/>
  <c r="M455" i="30" s="1"/>
  <c r="E347" i="30"/>
  <c r="E226" i="30"/>
  <c r="M226" i="30" s="1"/>
  <c r="E223" i="30"/>
  <c r="M223" i="30" s="1"/>
  <c r="E220" i="30"/>
  <c r="M220" i="30" s="1"/>
  <c r="E217" i="30"/>
  <c r="M217" i="30" s="1"/>
  <c r="E214" i="30"/>
  <c r="M214" i="30" s="1"/>
  <c r="E211" i="30"/>
  <c r="M211" i="30" s="1"/>
  <c r="E208" i="30"/>
  <c r="M208" i="30" s="1"/>
  <c r="E205" i="30"/>
  <c r="M205" i="30" s="1"/>
  <c r="E195" i="30"/>
  <c r="M429" i="30"/>
  <c r="M419" i="30"/>
  <c r="M416" i="30"/>
  <c r="M471" i="30"/>
  <c r="M458" i="30"/>
  <c r="E296" i="30"/>
  <c r="E439" i="30"/>
  <c r="M445" i="30"/>
  <c r="M442" i="30"/>
  <c r="E400" i="30"/>
  <c r="M400" i="30" s="1"/>
  <c r="E397" i="30"/>
  <c r="M397" i="30" s="1"/>
  <c r="E394" i="30"/>
  <c r="E391" i="30"/>
  <c r="M384" i="30"/>
  <c r="M381" i="30"/>
  <c r="M368" i="30"/>
  <c r="M365" i="30"/>
  <c r="E350" i="30"/>
  <c r="M350" i="30" s="1"/>
  <c r="E340" i="30"/>
  <c r="M340" i="30" s="1"/>
  <c r="M330" i="30"/>
  <c r="M320" i="30"/>
  <c r="E306" i="30"/>
  <c r="M306" i="30" s="1"/>
  <c r="G296" i="30"/>
  <c r="E286" i="30"/>
  <c r="M286" i="30" s="1"/>
  <c r="E283" i="30"/>
  <c r="M276" i="30"/>
  <c r="M266" i="30"/>
  <c r="E242" i="30"/>
  <c r="M242" i="30" s="1"/>
  <c r="M254" i="30"/>
  <c r="M251" i="30"/>
  <c r="M248" i="30"/>
  <c r="M245" i="30"/>
  <c r="M239" i="30"/>
  <c r="M236" i="30"/>
  <c r="M233" i="30"/>
  <c r="E73" i="30"/>
  <c r="M73" i="30" s="1"/>
  <c r="E58" i="30"/>
  <c r="M58" i="30" s="1"/>
  <c r="E198" i="30"/>
  <c r="M198" i="30" s="1"/>
  <c r="M188" i="30"/>
  <c r="M178" i="30"/>
  <c r="I166" i="30"/>
  <c r="G156" i="30"/>
  <c r="G153" i="30"/>
  <c r="M153" i="30" s="1"/>
  <c r="I146" i="30"/>
  <c r="E146" i="30"/>
  <c r="I112" i="30"/>
  <c r="I96" i="30"/>
  <c r="G79" i="30"/>
  <c r="E79" i="30"/>
  <c r="E67" i="30"/>
  <c r="M67" i="30" s="1"/>
  <c r="E64" i="30"/>
  <c r="M64" i="30" s="1"/>
  <c r="M43" i="30"/>
  <c r="M33" i="30"/>
  <c r="E20" i="30"/>
  <c r="M23" i="30"/>
  <c r="M1992" i="30"/>
  <c r="M1989" i="30"/>
  <c r="M2140" i="30"/>
  <c r="C2140" i="30"/>
  <c r="A2140" i="30"/>
  <c r="M2064" i="30"/>
  <c r="C2064" i="30"/>
  <c r="A2064" i="30"/>
  <c r="M2015" i="30"/>
  <c r="C2015" i="30"/>
  <c r="A2015" i="30"/>
  <c r="M1984" i="30"/>
  <c r="C1984" i="30"/>
  <c r="A1984" i="30"/>
  <c r="E1768" i="30"/>
  <c r="M1768" i="30" s="1"/>
  <c r="E1765" i="30"/>
  <c r="M1765" i="30" s="1"/>
  <c r="E1762" i="30"/>
  <c r="M1762" i="30" s="1"/>
  <c r="E1750" i="30"/>
  <c r="M1750" i="30" s="1"/>
  <c r="E1747" i="30"/>
  <c r="M1747" i="30" s="1"/>
  <c r="M1744" i="30"/>
  <c r="E1741" i="30"/>
  <c r="M1619" i="30"/>
  <c r="M1625" i="30" s="1"/>
  <c r="M1500" i="30"/>
  <c r="M1503" i="30"/>
  <c r="M1479" i="30"/>
  <c r="M1476" i="30"/>
  <c r="M1473" i="30"/>
  <c r="M1467" i="30"/>
  <c r="M1470" i="30"/>
  <c r="M1458" i="30"/>
  <c r="M1464" i="30"/>
  <c r="M1455" i="30"/>
  <c r="M1461" i="30"/>
  <c r="M1445" i="30"/>
  <c r="M1442" i="30"/>
  <c r="M1439" i="30"/>
  <c r="M1436" i="30"/>
  <c r="M1433" i="30"/>
  <c r="M1430" i="30"/>
  <c r="M1427" i="30"/>
  <c r="M1414" i="30"/>
  <c r="M1411" i="30"/>
  <c r="M1408" i="30"/>
  <c r="M1405" i="30"/>
  <c r="M1402" i="30"/>
  <c r="M1399" i="30"/>
  <c r="M1396" i="30"/>
  <c r="M1393" i="30"/>
  <c r="M1384" i="30"/>
  <c r="M2013" i="30" l="1"/>
  <c r="M1515" i="30"/>
  <c r="M1482" i="30"/>
  <c r="M257" i="30"/>
  <c r="M229" i="30"/>
  <c r="M296" i="30"/>
  <c r="M79" i="30"/>
  <c r="F255" i="28"/>
  <c r="I255" i="28" s="1"/>
  <c r="M1309" i="30"/>
  <c r="M1306" i="30"/>
  <c r="M1299" i="30"/>
  <c r="M1296" i="30"/>
  <c r="M1302" i="30" s="1"/>
  <c r="M961" i="30"/>
  <c r="E958" i="30"/>
  <c r="M958" i="30" s="1"/>
  <c r="M955" i="30"/>
  <c r="M949" i="30"/>
  <c r="M1113" i="30"/>
  <c r="M1119" i="30" s="1"/>
  <c r="E530" i="30"/>
  <c r="M514" i="30"/>
  <c r="H59" i="28"/>
  <c r="M424" i="30"/>
  <c r="C424" i="30"/>
  <c r="A424" i="30"/>
  <c r="M426" i="30"/>
  <c r="M432" i="30" s="1"/>
  <c r="E468" i="30"/>
  <c r="E413" i="30"/>
  <c r="M484" i="30"/>
  <c r="H63" i="28"/>
  <c r="A476" i="30"/>
  <c r="C476" i="30"/>
  <c r="M476" i="30"/>
  <c r="M478" i="30"/>
  <c r="M1312" i="30" l="1"/>
  <c r="M496" i="30"/>
  <c r="F63" i="28" s="1"/>
  <c r="I63" i="28" s="1"/>
  <c r="M976" i="30"/>
  <c r="E118" i="30"/>
  <c r="M118" i="30" s="1"/>
  <c r="F252" i="28"/>
  <c r="I252" i="28" s="1"/>
  <c r="E102" i="30"/>
  <c r="M102" i="30" s="1"/>
  <c r="F59" i="28"/>
  <c r="I59" i="28" s="1"/>
  <c r="E337" i="30"/>
  <c r="E303" i="30"/>
  <c r="G293" i="30"/>
  <c r="E293" i="30"/>
  <c r="E166" i="30"/>
  <c r="M166" i="30" s="1"/>
  <c r="M169" i="30" s="1"/>
  <c r="E112" i="30"/>
  <c r="E96" i="30"/>
  <c r="E76" i="30"/>
  <c r="E70" i="30"/>
  <c r="E61" i="30"/>
  <c r="E55" i="30"/>
  <c r="E52" i="30"/>
  <c r="M13" i="30" l="1"/>
  <c r="H243" i="28" l="1"/>
  <c r="H244" i="28"/>
  <c r="H245" i="28"/>
  <c r="H246" i="28"/>
  <c r="H247" i="28"/>
  <c r="H248" i="28"/>
  <c r="H249" i="28"/>
  <c r="H250" i="28"/>
  <c r="H251" i="28"/>
  <c r="H239" i="28"/>
  <c r="H227" i="28"/>
  <c r="H215" i="28"/>
  <c r="H216" i="28"/>
  <c r="H217" i="28"/>
  <c r="H218" i="28"/>
  <c r="H219" i="28"/>
  <c r="H220" i="28"/>
  <c r="H221" i="28"/>
  <c r="H222" i="28"/>
  <c r="H223" i="28"/>
  <c r="H210" i="28"/>
  <c r="H206" i="28"/>
  <c r="H201" i="28"/>
  <c r="H202" i="28"/>
  <c r="H194" i="28"/>
  <c r="H195" i="28"/>
  <c r="H196" i="28"/>
  <c r="H197" i="28"/>
  <c r="H184" i="28"/>
  <c r="H173" i="28"/>
  <c r="H174" i="28"/>
  <c r="H175" i="28"/>
  <c r="H176" i="28"/>
  <c r="H177" i="28"/>
  <c r="H178" i="28"/>
  <c r="H179" i="28"/>
  <c r="H180" i="28"/>
  <c r="H164" i="28"/>
  <c r="I164" i="28" s="1"/>
  <c r="H160" i="28"/>
  <c r="H69" i="28"/>
  <c r="H70" i="28"/>
  <c r="H71" i="28"/>
  <c r="H72" i="28"/>
  <c r="H60" i="28"/>
  <c r="H61" i="28"/>
  <c r="H62" i="28"/>
  <c r="H58" i="28"/>
  <c r="H54" i="28"/>
  <c r="H55" i="28"/>
  <c r="H48" i="28"/>
  <c r="H49" i="28"/>
  <c r="H50" i="28"/>
  <c r="H39" i="28"/>
  <c r="H40" i="28"/>
  <c r="H41" i="28"/>
  <c r="H42" i="28"/>
  <c r="H32" i="28"/>
  <c r="H33" i="28"/>
  <c r="H34" i="28"/>
  <c r="H35" i="28"/>
  <c r="H25" i="28"/>
  <c r="H26" i="28"/>
  <c r="H27" i="28"/>
  <c r="H28" i="28"/>
  <c r="H18" i="28"/>
  <c r="H19" i="28"/>
  <c r="H20" i="28"/>
  <c r="M1741" i="30" l="1"/>
  <c r="E1979" i="30" l="1"/>
  <c r="M1979" i="30" s="1"/>
  <c r="M1982" i="30" s="1"/>
  <c r="M1014" i="30"/>
  <c r="I160" i="28" l="1"/>
  <c r="M706" i="30" l="1"/>
  <c r="M701" i="30"/>
  <c r="C701" i="30"/>
  <c r="A701" i="30"/>
  <c r="M703" i="30"/>
  <c r="M709" i="30" s="1"/>
  <c r="H14" i="32"/>
  <c r="H13" i="32"/>
  <c r="H15" i="32"/>
  <c r="H16" i="32"/>
  <c r="F82" i="28" l="1"/>
  <c r="I82" i="28" s="1"/>
  <c r="H17" i="32"/>
  <c r="G85" i="28" s="1"/>
  <c r="H85" i="28" s="1"/>
  <c r="I85" i="28" s="1"/>
  <c r="M540" i="30" l="1"/>
  <c r="M552" i="30" s="1"/>
  <c r="M337" i="30"/>
  <c r="M343" i="30" s="1"/>
  <c r="M335" i="30"/>
  <c r="C335" i="30"/>
  <c r="A335" i="30"/>
  <c r="F49" i="28" l="1"/>
  <c r="I49" i="28" s="1"/>
  <c r="M413" i="30"/>
  <c r="M408" i="30"/>
  <c r="C408" i="30"/>
  <c r="A408" i="30"/>
  <c r="M110" i="30" l="1"/>
  <c r="C110" i="30"/>
  <c r="A110" i="30"/>
  <c r="M112" i="30"/>
  <c r="M410" i="30" l="1"/>
  <c r="M422" i="30" s="1"/>
  <c r="K44" i="29"/>
  <c r="K42" i="29"/>
  <c r="K40" i="29"/>
  <c r="K38" i="29"/>
  <c r="K36" i="29"/>
  <c r="K34" i="29"/>
  <c r="K32" i="29"/>
  <c r="K30" i="29"/>
  <c r="K28" i="29"/>
  <c r="K26" i="29"/>
  <c r="K24" i="29"/>
  <c r="K22" i="29"/>
  <c r="K20" i="29"/>
  <c r="K18" i="29"/>
  <c r="K16" i="29"/>
  <c r="K14" i="29"/>
  <c r="K12" i="29"/>
  <c r="B42" i="29"/>
  <c r="A42" i="29"/>
  <c r="B40" i="29"/>
  <c r="A40" i="29"/>
  <c r="B38" i="29"/>
  <c r="A38" i="29"/>
  <c r="B36" i="29"/>
  <c r="A36" i="29"/>
  <c r="B32" i="29"/>
  <c r="A32" i="29"/>
  <c r="B30" i="29"/>
  <c r="A30" i="29"/>
  <c r="E240" i="28"/>
  <c r="A1377" i="30"/>
  <c r="C1377" i="30"/>
  <c r="E224" i="28"/>
  <c r="E190" i="28"/>
  <c r="C1131" i="30"/>
  <c r="A1131" i="30"/>
  <c r="C811" i="30"/>
  <c r="A811" i="30"/>
  <c r="C907" i="30"/>
  <c r="A907" i="30"/>
  <c r="C1878" i="30"/>
  <c r="A1878" i="30"/>
  <c r="M1793" i="30"/>
  <c r="M1802" i="30" s="1"/>
  <c r="M1823" i="30"/>
  <c r="C1789" i="30"/>
  <c r="A1789" i="30"/>
  <c r="C1773" i="30"/>
  <c r="A1773" i="30"/>
  <c r="E228" i="28"/>
  <c r="E236" i="28"/>
  <c r="M1826" i="30" l="1"/>
  <c r="F233" i="28" s="1"/>
  <c r="I233" i="28" s="1"/>
  <c r="F58" i="28"/>
  <c r="I58" i="28" s="1"/>
  <c r="F230" i="28" l="1"/>
  <c r="I230" i="28" s="1"/>
  <c r="G236" i="28" s="1"/>
  <c r="A7" i="33"/>
  <c r="A6" i="33"/>
  <c r="A5" i="33"/>
  <c r="J3" i="33"/>
  <c r="I3" i="33"/>
  <c r="A4" i="33"/>
  <c r="A3" i="33"/>
  <c r="B28" i="29" l="1"/>
  <c r="A28" i="29"/>
  <c r="E169" i="28"/>
  <c r="M1977" i="30"/>
  <c r="C1977" i="30"/>
  <c r="A1977" i="30"/>
  <c r="A790" i="30"/>
  <c r="C790" i="30"/>
  <c r="M790" i="30"/>
  <c r="G76" i="30"/>
  <c r="M55" i="30"/>
  <c r="M70" i="30"/>
  <c r="M61" i="30"/>
  <c r="M52" i="30"/>
  <c r="E86" i="30" l="1"/>
  <c r="F251" i="28"/>
  <c r="I251" i="28" s="1"/>
  <c r="M76" i="30"/>
  <c r="E89" i="30" s="1"/>
  <c r="M82" i="30" l="1"/>
  <c r="M96" i="30"/>
  <c r="A144" i="30"/>
  <c r="C144" i="30"/>
  <c r="M144" i="30"/>
  <c r="M1940" i="30" l="1"/>
  <c r="C1940" i="30"/>
  <c r="A1940" i="30"/>
  <c r="M1945" i="30"/>
  <c r="M1942" i="30"/>
  <c r="M1948" i="30" l="1"/>
  <c r="F247" i="28" s="1"/>
  <c r="I247" i="28" s="1"/>
  <c r="M1304" i="30" l="1"/>
  <c r="C1304" i="30"/>
  <c r="A1304" i="30"/>
  <c r="M1294" i="30"/>
  <c r="C1294" i="30"/>
  <c r="M1284" i="30"/>
  <c r="C1284" i="30"/>
  <c r="M1266" i="30"/>
  <c r="C1266" i="30"/>
  <c r="A1266" i="30"/>
  <c r="M1250" i="30"/>
  <c r="C1250" i="30"/>
  <c r="A1250" i="30"/>
  <c r="F197" i="28" l="1"/>
  <c r="I197" i="28" s="1"/>
  <c r="F196" i="28"/>
  <c r="I196" i="28" s="1"/>
  <c r="M1219" i="30"/>
  <c r="C1219" i="30"/>
  <c r="A1219" i="30"/>
  <c r="F206" i="28" l="1"/>
  <c r="I206" i="28" s="1"/>
  <c r="F194" i="28"/>
  <c r="I194" i="28" s="1"/>
  <c r="F195" i="28"/>
  <c r="I195" i="28" s="1"/>
  <c r="M1484" i="30" l="1"/>
  <c r="C1484" i="30"/>
  <c r="A1484" i="30"/>
  <c r="M1486" i="30"/>
  <c r="M1489" i="30" s="1"/>
  <c r="M1424" i="30"/>
  <c r="M1448" i="30" s="1"/>
  <c r="M1011" i="30"/>
  <c r="M1017" i="30" s="1"/>
  <c r="D25" i="29" l="1"/>
  <c r="F184" i="28"/>
  <c r="I184" i="28" s="1"/>
  <c r="F222" i="28"/>
  <c r="I222" i="28" s="1"/>
  <c r="F217" i="28"/>
  <c r="I217" i="28" s="1"/>
  <c r="F173" i="28"/>
  <c r="I173" i="28" s="1"/>
  <c r="M1727" i="30"/>
  <c r="C1727" i="30"/>
  <c r="A1727" i="30"/>
  <c r="M1085" i="30"/>
  <c r="C1085" i="30"/>
  <c r="A1085" i="30"/>
  <c r="M1060" i="30"/>
  <c r="C1060" i="30"/>
  <c r="A1060" i="30"/>
  <c r="M691" i="30" l="1"/>
  <c r="C691" i="30"/>
  <c r="A691" i="30"/>
  <c r="M693" i="30"/>
  <c r="M699" i="30" s="1"/>
  <c r="M1732" i="30" l="1"/>
  <c r="M1771" i="30" s="1"/>
  <c r="M1087" i="30"/>
  <c r="M1090" i="30" s="1"/>
  <c r="M562" i="30"/>
  <c r="M1972" i="30"/>
  <c r="M1975" i="30" s="1"/>
  <c r="M1970" i="30"/>
  <c r="C1970" i="30"/>
  <c r="A1970" i="30"/>
  <c r="F223" i="28" l="1"/>
  <c r="I223" i="28" s="1"/>
  <c r="F81" i="28"/>
  <c r="I81" i="28" s="1"/>
  <c r="F250" i="28"/>
  <c r="I250" i="28" s="1"/>
  <c r="F178" i="28" l="1"/>
  <c r="I178" i="28" s="1"/>
  <c r="F177" i="28" l="1"/>
  <c r="I177" i="28" s="1"/>
  <c r="M511" i="30" l="1"/>
  <c r="M293" i="30" l="1"/>
  <c r="M299" i="30" s="1"/>
  <c r="M151" i="30"/>
  <c r="C151" i="30"/>
  <c r="A151" i="30"/>
  <c r="M164" i="30"/>
  <c r="C164" i="30"/>
  <c r="A164" i="30"/>
  <c r="F28" i="28"/>
  <c r="I28" i="28" s="1"/>
  <c r="M146" i="30"/>
  <c r="M149" i="30" s="1"/>
  <c r="M38" i="30" l="1"/>
  <c r="C38" i="30"/>
  <c r="A38" i="30"/>
  <c r="M40" i="30"/>
  <c r="H238" i="28"/>
  <c r="M30" i="30"/>
  <c r="M36" i="30" s="1"/>
  <c r="M46" i="30" l="1"/>
  <c r="F14" i="28" s="1"/>
  <c r="I14" i="28" s="1"/>
  <c r="M3" i="30"/>
  <c r="H3" i="32"/>
  <c r="K3" i="29"/>
  <c r="M1019" i="30" l="1"/>
  <c r="C1019" i="30"/>
  <c r="A1019" i="30"/>
  <c r="M1903" i="30"/>
  <c r="C1903" i="30"/>
  <c r="A1903" i="30"/>
  <c r="M1905" i="30"/>
  <c r="M1908" i="30" s="1"/>
  <c r="F243" i="28" l="1"/>
  <c r="I243" i="28" s="1"/>
  <c r="F175" i="28"/>
  <c r="I175" i="28" s="1"/>
  <c r="F13" i="28" l="1"/>
  <c r="I13" i="28" s="1"/>
  <c r="M1889" i="30"/>
  <c r="M1892" i="30" s="1"/>
  <c r="M1882" i="30"/>
  <c r="M1885" i="30" s="1"/>
  <c r="M28" i="30"/>
  <c r="C28" i="30"/>
  <c r="A28" i="30"/>
  <c r="M18" i="30"/>
  <c r="C18" i="30"/>
  <c r="A18" i="30"/>
  <c r="M1887" i="30"/>
  <c r="C1887" i="30"/>
  <c r="A1887" i="30"/>
  <c r="M1880" i="30"/>
  <c r="C1880" i="30"/>
  <c r="A1880" i="30"/>
  <c r="M20" i="30"/>
  <c r="D41" i="29" l="1"/>
  <c r="M26" i="30"/>
  <c r="F12" i="28" s="1"/>
  <c r="I12" i="28" s="1"/>
  <c r="F239" i="28"/>
  <c r="I239" i="28" s="1"/>
  <c r="M159" i="30"/>
  <c r="M156" i="30"/>
  <c r="H188" i="28"/>
  <c r="M162" i="30" l="1"/>
  <c r="I41" i="29"/>
  <c r="J41" i="29"/>
  <c r="G41" i="29"/>
  <c r="H41" i="29"/>
  <c r="F41" i="29"/>
  <c r="E41" i="29"/>
  <c r="F238" i="28"/>
  <c r="I238" i="28" s="1"/>
  <c r="F27" i="28"/>
  <c r="I27" i="28" s="1"/>
  <c r="H24" i="28"/>
  <c r="M132" i="30"/>
  <c r="M135" i="30" s="1"/>
  <c r="M130" i="30"/>
  <c r="C130" i="30"/>
  <c r="A130" i="30"/>
  <c r="G1318" i="30"/>
  <c r="M1332" i="30"/>
  <c r="C1332" i="30"/>
  <c r="A1332" i="30"/>
  <c r="H209" i="28"/>
  <c r="M1316" i="30"/>
  <c r="C1316" i="30"/>
  <c r="A1316" i="30"/>
  <c r="H205" i="28"/>
  <c r="M1355" i="30"/>
  <c r="C1355" i="30"/>
  <c r="A1355" i="30"/>
  <c r="C1330" i="30"/>
  <c r="A1330" i="30"/>
  <c r="M1323" i="30"/>
  <c r="C1323" i="30"/>
  <c r="A1323" i="30"/>
  <c r="C1314" i="30"/>
  <c r="A1314" i="30"/>
  <c r="E207" i="28"/>
  <c r="A1294" i="30"/>
  <c r="A1284" i="30"/>
  <c r="C1282" i="30"/>
  <c r="A1282" i="30"/>
  <c r="E203" i="28"/>
  <c r="H200" i="28"/>
  <c r="H193" i="28"/>
  <c r="G240" i="28" l="1"/>
  <c r="D43" i="29" s="1"/>
  <c r="K41" i="29"/>
  <c r="F209" i="28"/>
  <c r="I209" i="28" s="1"/>
  <c r="F200" i="28"/>
  <c r="I200" i="28" s="1"/>
  <c r="F193" i="28"/>
  <c r="I193" i="28" s="1"/>
  <c r="G198" i="28" s="1"/>
  <c r="F35" i="28"/>
  <c r="I35" i="28" s="1"/>
  <c r="F210" i="28"/>
  <c r="I210" i="28" s="1"/>
  <c r="M1318" i="30"/>
  <c r="M1321" i="30" s="1"/>
  <c r="F202" i="28"/>
  <c r="I202" i="28" s="1"/>
  <c r="M1188" i="30"/>
  <c r="C1188" i="30"/>
  <c r="A1188" i="30"/>
  <c r="M1157" i="30"/>
  <c r="C1157" i="30"/>
  <c r="A1157" i="30"/>
  <c r="C1155" i="30"/>
  <c r="A1155" i="30"/>
  <c r="C1153" i="30"/>
  <c r="A1153" i="30"/>
  <c r="M1782" i="30"/>
  <c r="C1782" i="30"/>
  <c r="A1782" i="30"/>
  <c r="M1784" i="30"/>
  <c r="M1787" i="30" s="1"/>
  <c r="M1775" i="30"/>
  <c r="C1775" i="30"/>
  <c r="A1775" i="30"/>
  <c r="M1777" i="30"/>
  <c r="M1780" i="30" s="1"/>
  <c r="M1121" i="30"/>
  <c r="C1121" i="30"/>
  <c r="A1121" i="30"/>
  <c r="H226" i="28"/>
  <c r="M1111" i="30"/>
  <c r="C1111" i="30"/>
  <c r="A1111" i="30"/>
  <c r="C1109" i="30"/>
  <c r="A1109" i="30"/>
  <c r="M1627" i="30"/>
  <c r="C1627" i="30"/>
  <c r="A1627" i="30"/>
  <c r="F221" i="28"/>
  <c r="I221" i="28" s="1"/>
  <c r="M1617" i="30"/>
  <c r="C1617" i="30"/>
  <c r="A1617" i="30"/>
  <c r="J43" i="29" l="1"/>
  <c r="F43" i="29"/>
  <c r="E43" i="29"/>
  <c r="G43" i="29"/>
  <c r="I43" i="29"/>
  <c r="H43" i="29"/>
  <c r="G211" i="28"/>
  <c r="F205" i="28"/>
  <c r="F201" i="28"/>
  <c r="F183" i="28"/>
  <c r="M1517" i="30"/>
  <c r="C1517" i="30"/>
  <c r="A1517" i="30"/>
  <c r="M1498" i="30"/>
  <c r="C1498" i="30"/>
  <c r="A1498" i="30"/>
  <c r="F219" i="28"/>
  <c r="I219" i="28" s="1"/>
  <c r="M1493" i="30"/>
  <c r="M1496" i="30" s="1"/>
  <c r="M1491" i="30"/>
  <c r="C1491" i="30"/>
  <c r="A1491" i="30"/>
  <c r="M1450" i="30"/>
  <c r="C1450" i="30"/>
  <c r="A1450" i="30"/>
  <c r="M1419" i="30"/>
  <c r="C1419" i="30"/>
  <c r="A1419" i="30"/>
  <c r="M1379" i="30"/>
  <c r="C1379" i="30"/>
  <c r="A1379" i="30"/>
  <c r="H214" i="28"/>
  <c r="K43" i="29" l="1"/>
  <c r="F218" i="28"/>
  <c r="I218" i="28" s="1"/>
  <c r="I201" i="28"/>
  <c r="G203" i="28" s="1"/>
  <c r="F227" i="28"/>
  <c r="I227" i="28" s="1"/>
  <c r="F226" i="28"/>
  <c r="I226" i="28" s="1"/>
  <c r="F220" i="28"/>
  <c r="I220" i="28" s="1"/>
  <c r="I205" i="28"/>
  <c r="G207" i="28" s="1"/>
  <c r="F215" i="28"/>
  <c r="I215" i="28" s="1"/>
  <c r="M1381" i="30"/>
  <c r="M1417" i="30" s="1"/>
  <c r="G228" i="28" l="1"/>
  <c r="D39" i="29" s="1"/>
  <c r="G212" i="28"/>
  <c r="F214" i="28"/>
  <c r="I214" i="28" s="1"/>
  <c r="M556" i="30"/>
  <c r="M565" i="30" s="1"/>
  <c r="M606" i="30"/>
  <c r="M609" i="30" s="1"/>
  <c r="F39" i="29" l="1"/>
  <c r="I39" i="29"/>
  <c r="H39" i="29"/>
  <c r="E39" i="29"/>
  <c r="G39" i="29"/>
  <c r="J39" i="29"/>
  <c r="A611" i="30"/>
  <c r="C611" i="30"/>
  <c r="M1050" i="30"/>
  <c r="C1050" i="30"/>
  <c r="A1050" i="30"/>
  <c r="M1102" i="30"/>
  <c r="C1102" i="30"/>
  <c r="A1102" i="30"/>
  <c r="M1092" i="30"/>
  <c r="C1092" i="30"/>
  <c r="A1092" i="30"/>
  <c r="K39" i="29" l="1"/>
  <c r="F176" i="28"/>
  <c r="I176" i="28" s="1"/>
  <c r="M1009" i="30" l="1"/>
  <c r="C1009" i="30"/>
  <c r="A1009" i="30"/>
  <c r="M978" i="30"/>
  <c r="C978" i="30"/>
  <c r="A978" i="30"/>
  <c r="M1094" i="30" l="1"/>
  <c r="E1097" i="30" s="1"/>
  <c r="M1097" i="30" s="1"/>
  <c r="F174" i="28"/>
  <c r="I174" i="28" s="1"/>
  <c r="F179" i="28" l="1"/>
  <c r="I179" i="28" s="1"/>
  <c r="E1104" i="30"/>
  <c r="M1104" i="30" s="1"/>
  <c r="M1107" i="30" s="1"/>
  <c r="M947" i="30"/>
  <c r="C947" i="30"/>
  <c r="A947" i="30"/>
  <c r="C945" i="30"/>
  <c r="A945" i="30"/>
  <c r="C943" i="30"/>
  <c r="A943" i="30"/>
  <c r="F180" i="28" l="1"/>
  <c r="I180" i="28" s="1"/>
  <c r="F172" i="28"/>
  <c r="M1133" i="30"/>
  <c r="C1133" i="30"/>
  <c r="A1133" i="30"/>
  <c r="F216" i="28" l="1"/>
  <c r="I216" i="28" s="1"/>
  <c r="G224" i="28" s="1"/>
  <c r="F188" i="28"/>
  <c r="I188" i="28" s="1"/>
  <c r="G190" i="28" s="1"/>
  <c r="D33" i="29" l="1"/>
  <c r="M684" i="30"/>
  <c r="C684" i="30"/>
  <c r="A684" i="30"/>
  <c r="M686" i="30"/>
  <c r="M689" i="30" s="1"/>
  <c r="M679" i="30"/>
  <c r="M682" i="30" s="1"/>
  <c r="M677" i="30"/>
  <c r="C677" i="30"/>
  <c r="A677" i="30"/>
  <c r="H33" i="29" l="1"/>
  <c r="J33" i="29"/>
  <c r="I33" i="29"/>
  <c r="E33" i="29"/>
  <c r="G33" i="29"/>
  <c r="F33" i="29"/>
  <c r="K33" i="29" l="1"/>
  <c r="F79" i="28"/>
  <c r="I79" i="28" s="1"/>
  <c r="F80" i="28"/>
  <c r="I80" i="28" s="1"/>
  <c r="M615" i="30"/>
  <c r="M636" i="30" l="1"/>
  <c r="F75" i="28" s="1"/>
  <c r="I75" i="28" s="1"/>
  <c r="G86" i="28" s="1"/>
  <c r="A554" i="30"/>
  <c r="M554" i="30"/>
  <c r="C554" i="30"/>
  <c r="M583" i="30" l="1"/>
  <c r="C583" i="30"/>
  <c r="A583" i="30"/>
  <c r="M569" i="30"/>
  <c r="M581" i="30" s="1"/>
  <c r="M567" i="30"/>
  <c r="C567" i="30"/>
  <c r="A567" i="30"/>
  <c r="F72" i="28" l="1"/>
  <c r="I72" i="28" s="1"/>
  <c r="F70" i="28"/>
  <c r="I70" i="28" s="1"/>
  <c r="A538" i="30"/>
  <c r="M538" i="30"/>
  <c r="C538" i="30"/>
  <c r="A7" i="32"/>
  <c r="A6" i="32"/>
  <c r="A5" i="32"/>
  <c r="A4" i="32"/>
  <c r="A3" i="32"/>
  <c r="F69" i="28" l="1"/>
  <c r="I69" i="28" s="1"/>
  <c r="M502" i="30" l="1"/>
  <c r="M526" i="30" s="1"/>
  <c r="M530" i="30"/>
  <c r="M536" i="30" s="1"/>
  <c r="F68" i="28" l="1"/>
  <c r="I68" i="28" s="1"/>
  <c r="M303" i="30"/>
  <c r="M309" i="30" s="1"/>
  <c r="M500" i="30" l="1"/>
  <c r="C500" i="30"/>
  <c r="A500" i="30"/>
  <c r="C498" i="30"/>
  <c r="A498" i="30"/>
  <c r="B34" i="29"/>
  <c r="A34" i="29"/>
  <c r="B20" i="29"/>
  <c r="A20" i="29"/>
  <c r="B18" i="29"/>
  <c r="A18" i="29"/>
  <c r="E212" i="28"/>
  <c r="E211" i="28"/>
  <c r="D35" i="29"/>
  <c r="E198" i="28"/>
  <c r="H172" i="28"/>
  <c r="E186" i="28"/>
  <c r="E185" i="28"/>
  <c r="H183" i="28"/>
  <c r="E181" i="28"/>
  <c r="E73" i="28"/>
  <c r="H67" i="28"/>
  <c r="B12" i="29"/>
  <c r="A12" i="29"/>
  <c r="M94" i="30"/>
  <c r="C94" i="30"/>
  <c r="A94" i="30"/>
  <c r="E21" i="28"/>
  <c r="I35" i="29" l="1"/>
  <c r="F35" i="29"/>
  <c r="G35" i="29"/>
  <c r="H35" i="29"/>
  <c r="J35" i="29"/>
  <c r="D21" i="29"/>
  <c r="D37" i="29"/>
  <c r="I183" i="28"/>
  <c r="G185" i="28" s="1"/>
  <c r="I172" i="28"/>
  <c r="G181" i="28" s="1"/>
  <c r="G186" i="28" l="1"/>
  <c r="I21" i="29"/>
  <c r="I37" i="29"/>
  <c r="F21" i="29"/>
  <c r="G21" i="29"/>
  <c r="H21" i="29"/>
  <c r="J21" i="29"/>
  <c r="F37" i="29"/>
  <c r="G37" i="29"/>
  <c r="H37" i="29"/>
  <c r="J37" i="29"/>
  <c r="E37" i="29"/>
  <c r="C48" i="30"/>
  <c r="A48" i="30"/>
  <c r="K37" i="29" l="1"/>
  <c r="E35" i="29"/>
  <c r="K35" i="29" s="1"/>
  <c r="F93" i="28"/>
  <c r="I93" i="28" s="1"/>
  <c r="M777" i="30"/>
  <c r="C777" i="30"/>
  <c r="A777" i="30"/>
  <c r="M767" i="30"/>
  <c r="C767" i="30"/>
  <c r="A767" i="30"/>
  <c r="M747" i="30"/>
  <c r="C747" i="30"/>
  <c r="A747" i="30"/>
  <c r="F92" i="28" l="1"/>
  <c r="I92" i="28" s="1"/>
  <c r="F91" i="28" l="1"/>
  <c r="I91" i="28" s="1"/>
  <c r="F89" i="28"/>
  <c r="M1965" i="30" l="1"/>
  <c r="M1962" i="30"/>
  <c r="M1955" i="30"/>
  <c r="M1952" i="30"/>
  <c r="M1935" i="30"/>
  <c r="M1932" i="30"/>
  <c r="M1925" i="30"/>
  <c r="M1922" i="30"/>
  <c r="M1915" i="30"/>
  <c r="M1912" i="30"/>
  <c r="M1918" i="30" l="1"/>
  <c r="M1928" i="30"/>
  <c r="M1938" i="30"/>
  <c r="F246" i="28" s="1"/>
  <c r="I246" i="28" s="1"/>
  <c r="M1958" i="30"/>
  <c r="F248" i="28" s="1"/>
  <c r="I248" i="28" s="1"/>
  <c r="M1968" i="30"/>
  <c r="F249" i="28" s="1"/>
  <c r="I249" i="28" s="1"/>
  <c r="F245" i="28"/>
  <c r="I245" i="28" s="1"/>
  <c r="F244" i="28"/>
  <c r="I244" i="28" s="1"/>
  <c r="C732" i="30" l="1"/>
  <c r="A732" i="30"/>
  <c r="M1960" i="30"/>
  <c r="C1960" i="30"/>
  <c r="A1960" i="30"/>
  <c r="M1950" i="30"/>
  <c r="C1950" i="30"/>
  <c r="A1950" i="30"/>
  <c r="M1930" i="30"/>
  <c r="C1930" i="30"/>
  <c r="A1930" i="30"/>
  <c r="M1920" i="30"/>
  <c r="C1920" i="30"/>
  <c r="A1920" i="30"/>
  <c r="M1910" i="30"/>
  <c r="C1910" i="30"/>
  <c r="A1910" i="30"/>
  <c r="M894" i="30"/>
  <c r="C894" i="30"/>
  <c r="A894" i="30"/>
  <c r="M1109" i="30"/>
  <c r="B22" i="29" l="1"/>
  <c r="A22" i="29"/>
  <c r="E94" i="28"/>
  <c r="H89" i="28"/>
  <c r="I89" i="28" l="1"/>
  <c r="G94" i="28" s="1"/>
  <c r="D23" i="29" l="1"/>
  <c r="F23" i="29" l="1"/>
  <c r="I23" i="29"/>
  <c r="H23" i="29"/>
  <c r="E23" i="29"/>
  <c r="J23" i="29"/>
  <c r="G23" i="29"/>
  <c r="K23" i="29" l="1"/>
  <c r="I25" i="29" l="1"/>
  <c r="G25" i="29"/>
  <c r="E25" i="29"/>
  <c r="H25" i="29"/>
  <c r="F25" i="29"/>
  <c r="J25" i="29"/>
  <c r="K25" i="29" l="1"/>
  <c r="M468" i="30" l="1"/>
  <c r="M474" i="30" s="1"/>
  <c r="M439" i="30"/>
  <c r="M394" i="30"/>
  <c r="M378" i="30"/>
  <c r="M362" i="30"/>
  <c r="A373" i="30"/>
  <c r="C373" i="30"/>
  <c r="M373" i="30"/>
  <c r="F62" i="28" l="1"/>
  <c r="I62" i="28" s="1"/>
  <c r="H11" i="28" l="1"/>
  <c r="M466" i="30"/>
  <c r="C466" i="30"/>
  <c r="A466" i="30"/>
  <c r="M139" i="30" l="1"/>
  <c r="M142" i="30" s="1"/>
  <c r="H149" i="28" l="1"/>
  <c r="I149" i="28" s="1"/>
  <c r="G157" i="28" s="1"/>
  <c r="M452" i="30" l="1"/>
  <c r="M464" i="30" s="1"/>
  <c r="B44" i="29" l="1"/>
  <c r="A44" i="29"/>
  <c r="M1896" i="30" l="1"/>
  <c r="M450" i="30"/>
  <c r="M434" i="30"/>
  <c r="M389" i="30"/>
  <c r="M357" i="30"/>
  <c r="M345" i="30"/>
  <c r="M325" i="30"/>
  <c r="M315" i="30"/>
  <c r="M281" i="30"/>
  <c r="M301" i="30"/>
  <c r="M291" i="30"/>
  <c r="M271" i="30"/>
  <c r="M261" i="30"/>
  <c r="M231" i="30"/>
  <c r="M203" i="30"/>
  <c r="M84" i="30"/>
  <c r="M909" i="30"/>
  <c r="M193" i="30"/>
  <c r="M183" i="30"/>
  <c r="M50" i="30"/>
  <c r="M173" i="30"/>
  <c r="M137" i="30"/>
  <c r="M11" i="30"/>
  <c r="E64" i="28" l="1"/>
  <c r="H163" i="28" l="1"/>
  <c r="I163" i="28" s="1"/>
  <c r="G165" i="28" s="1"/>
  <c r="H17" i="28"/>
  <c r="H168" i="28"/>
  <c r="M436" i="30"/>
  <c r="M448" i="30" s="1"/>
  <c r="C434" i="30"/>
  <c r="A434" i="30"/>
  <c r="F60" i="28" l="1"/>
  <c r="I60" i="28" s="1"/>
  <c r="M1898" i="30" l="1"/>
  <c r="M1901" i="30" s="1"/>
  <c r="C1896" i="30"/>
  <c r="A1896" i="30"/>
  <c r="E165" i="28"/>
  <c r="F242" i="28" l="1"/>
  <c r="K10" i="29" l="1"/>
  <c r="A807" i="30"/>
  <c r="M391" i="30" l="1"/>
  <c r="M403" i="30" s="1"/>
  <c r="M375" i="30"/>
  <c r="M387" i="30" s="1"/>
  <c r="M359" i="30"/>
  <c r="M371" i="30" s="1"/>
  <c r="M347" i="30"/>
  <c r="M353" i="30" s="1"/>
  <c r="M327" i="30"/>
  <c r="M333" i="30" s="1"/>
  <c r="M317" i="30"/>
  <c r="M323" i="30" s="1"/>
  <c r="M283" i="30"/>
  <c r="M289" i="30" s="1"/>
  <c r="M273" i="30"/>
  <c r="M279" i="30" s="1"/>
  <c r="M263" i="30"/>
  <c r="M269" i="30" s="1"/>
  <c r="A259" i="30"/>
  <c r="M195" i="30"/>
  <c r="M201" i="30" s="1"/>
  <c r="M185" i="30"/>
  <c r="M191" i="30" s="1"/>
  <c r="C171" i="30"/>
  <c r="A171" i="30"/>
  <c r="F33" i="28" l="1"/>
  <c r="I33" i="28" s="1"/>
  <c r="F168" i="28"/>
  <c r="I168" i="28" s="1"/>
  <c r="G169" i="28" s="1"/>
  <c r="F32" i="28"/>
  <c r="I32" i="28" s="1"/>
  <c r="F24" i="28"/>
  <c r="I24" i="28" s="1"/>
  <c r="D29" i="29" l="1"/>
  <c r="G89" i="30"/>
  <c r="F38" i="28"/>
  <c r="I29" i="29" l="1"/>
  <c r="F29" i="29"/>
  <c r="G29" i="29"/>
  <c r="H29" i="29"/>
  <c r="J29" i="29"/>
  <c r="E29" i="29"/>
  <c r="F17" i="28"/>
  <c r="I17" i="28" s="1"/>
  <c r="C231" i="30"/>
  <c r="A231" i="30"/>
  <c r="C203" i="30"/>
  <c r="A203" i="30"/>
  <c r="A26" i="29"/>
  <c r="A24" i="29"/>
  <c r="A16" i="29"/>
  <c r="A14" i="29"/>
  <c r="A10" i="29"/>
  <c r="B26" i="29"/>
  <c r="B24" i="29"/>
  <c r="B16" i="29"/>
  <c r="B14" i="29"/>
  <c r="K29" i="29" l="1"/>
  <c r="C281" i="30"/>
  <c r="A281" i="30"/>
  <c r="C301" i="30"/>
  <c r="A301" i="30"/>
  <c r="C291" i="30"/>
  <c r="A291" i="30"/>
  <c r="C271" i="30"/>
  <c r="A271" i="30"/>
  <c r="C261" i="30"/>
  <c r="A261" i="30"/>
  <c r="C259" i="30"/>
  <c r="C84" i="30" l="1"/>
  <c r="A84" i="30"/>
  <c r="C909" i="30"/>
  <c r="A909" i="30"/>
  <c r="C193" i="30"/>
  <c r="A193" i="30"/>
  <c r="C183" i="30"/>
  <c r="A183" i="30"/>
  <c r="C50" i="30"/>
  <c r="A50" i="30"/>
  <c r="C173" i="30"/>
  <c r="A173" i="30"/>
  <c r="F42" i="28" l="1"/>
  <c r="I42" i="28" s="1"/>
  <c r="F41" i="28"/>
  <c r="I41" i="28" s="1"/>
  <c r="C137" i="30"/>
  <c r="A137" i="30"/>
  <c r="C128" i="30"/>
  <c r="A128" i="30"/>
  <c r="C126" i="30"/>
  <c r="A126" i="30"/>
  <c r="C1894" i="30"/>
  <c r="A1894" i="30"/>
  <c r="E258" i="28"/>
  <c r="H242" i="28"/>
  <c r="E166" i="28"/>
  <c r="E161" i="28"/>
  <c r="H159" i="28"/>
  <c r="I159" i="28" s="1"/>
  <c r="G161" i="28" s="1"/>
  <c r="G166" i="28" s="1"/>
  <c r="E157" i="28"/>
  <c r="E147" i="28"/>
  <c r="C803" i="30"/>
  <c r="A803" i="30"/>
  <c r="C450" i="30"/>
  <c r="A450" i="30"/>
  <c r="H53" i="28"/>
  <c r="H47" i="28"/>
  <c r="E65" i="28"/>
  <c r="C405" i="30"/>
  <c r="A405" i="30"/>
  <c r="C389" i="30"/>
  <c r="A389" i="30"/>
  <c r="C357" i="30"/>
  <c r="A357" i="30"/>
  <c r="C355" i="30"/>
  <c r="A355" i="30"/>
  <c r="C345" i="30"/>
  <c r="A345" i="30"/>
  <c r="C325" i="30"/>
  <c r="A325" i="30"/>
  <c r="C315" i="30"/>
  <c r="A315" i="30"/>
  <c r="C313" i="30"/>
  <c r="A313" i="30"/>
  <c r="C311" i="30"/>
  <c r="A311" i="30"/>
  <c r="F55" i="28"/>
  <c r="I55" i="28" s="1"/>
  <c r="F54" i="28"/>
  <c r="I54" i="28" s="1"/>
  <c r="F53" i="28"/>
  <c r="F50" i="28"/>
  <c r="I50" i="28" s="1"/>
  <c r="F48" i="28"/>
  <c r="I48" i="28" s="1"/>
  <c r="F47" i="28"/>
  <c r="E56" i="28"/>
  <c r="E51" i="28"/>
  <c r="E44" i="28"/>
  <c r="E43" i="28"/>
  <c r="H38" i="28"/>
  <c r="E36" i="28"/>
  <c r="H31" i="28"/>
  <c r="E29" i="28"/>
  <c r="E15" i="28"/>
  <c r="F40" i="28"/>
  <c r="I40" i="28" s="1"/>
  <c r="F39" i="28"/>
  <c r="I39" i="28" s="1"/>
  <c r="M175" i="30"/>
  <c r="M181" i="30" s="1"/>
  <c r="F25" i="28"/>
  <c r="I25" i="28" s="1"/>
  <c r="C11" i="30"/>
  <c r="A11" i="30"/>
  <c r="C9" i="30"/>
  <c r="M16" i="30"/>
  <c r="F11" i="28" s="1"/>
  <c r="I11" i="28" s="1"/>
  <c r="G15" i="28" s="1"/>
  <c r="F26" i="28" l="1"/>
  <c r="G86" i="30"/>
  <c r="M86" i="30" s="1"/>
  <c r="F31" i="28"/>
  <c r="I31" i="28" s="1"/>
  <c r="I47" i="28"/>
  <c r="G51" i="28" s="1"/>
  <c r="I38" i="28"/>
  <c r="G43" i="28" s="1"/>
  <c r="I53" i="28"/>
  <c r="G56" i="28" s="1"/>
  <c r="I26" i="28" l="1"/>
  <c r="G29" i="28" s="1"/>
  <c r="D27" i="29"/>
  <c r="F61" i="28"/>
  <c r="I61" i="28" s="1"/>
  <c r="G64" i="28" s="1"/>
  <c r="G65" i="28" s="1"/>
  <c r="I242" i="28"/>
  <c r="M89" i="30"/>
  <c r="M92" i="30" s="1"/>
  <c r="I27" i="29" l="1"/>
  <c r="E99" i="30"/>
  <c r="E115" i="30"/>
  <c r="M115" i="30" s="1"/>
  <c r="M124" i="30" s="1"/>
  <c r="E27" i="29"/>
  <c r="F27" i="29"/>
  <c r="G27" i="29"/>
  <c r="H27" i="29"/>
  <c r="J27" i="29"/>
  <c r="F18" i="28"/>
  <c r="I18" i="28" s="1"/>
  <c r="D17" i="29" l="1"/>
  <c r="K27" i="29"/>
  <c r="M99" i="30"/>
  <c r="F20" i="28" l="1"/>
  <c r="I20" i="28" s="1"/>
  <c r="I17" i="29"/>
  <c r="F17" i="29"/>
  <c r="J17" i="29"/>
  <c r="H17" i="29"/>
  <c r="G17" i="29"/>
  <c r="E17" i="29" l="1"/>
  <c r="K17" i="29" s="1"/>
  <c r="A7" i="29" l="1"/>
  <c r="A7" i="30"/>
  <c r="M6" i="30" l="1"/>
  <c r="L3" i="30"/>
  <c r="A6" i="30"/>
  <c r="A5" i="30"/>
  <c r="A4" i="30"/>
  <c r="A3" i="30"/>
  <c r="B10" i="29" l="1"/>
  <c r="A6" i="29" l="1"/>
  <c r="A5" i="29"/>
  <c r="A4" i="29"/>
  <c r="A3" i="29"/>
  <c r="D11" i="29" l="1"/>
  <c r="E21" i="29"/>
  <c r="K21" i="29" s="1"/>
  <c r="I11" i="29" l="1"/>
  <c r="D31" i="29"/>
  <c r="H11" i="29"/>
  <c r="J11" i="29"/>
  <c r="G11" i="29"/>
  <c r="F11" i="29"/>
  <c r="E11" i="29"/>
  <c r="I31" i="29" l="1"/>
  <c r="G31" i="29"/>
  <c r="H31" i="29"/>
  <c r="J31" i="29"/>
  <c r="F31" i="29"/>
  <c r="K11" i="29"/>
  <c r="E31" i="29" l="1"/>
  <c r="K31" i="29" l="1"/>
  <c r="F71" i="28"/>
  <c r="I71" i="28" l="1"/>
  <c r="F34" i="28" l="1"/>
  <c r="I34" i="28" s="1"/>
  <c r="G36" i="28" s="1"/>
  <c r="G44" i="28" s="1"/>
  <c r="D15" i="29" l="1"/>
  <c r="I15" i="29" l="1"/>
  <c r="F15" i="29"/>
  <c r="E15" i="29"/>
  <c r="J15" i="29"/>
  <c r="G15" i="29"/>
  <c r="H15" i="29"/>
  <c r="K15" i="29" l="1"/>
  <c r="F67" i="28"/>
  <c r="I67" i="28" s="1"/>
  <c r="G73" i="28" s="1"/>
  <c r="D19" i="29" l="1"/>
  <c r="J19" i="29" l="1"/>
  <c r="F19" i="29"/>
  <c r="G19" i="29"/>
  <c r="I19" i="29"/>
  <c r="H19" i="29"/>
  <c r="E19" i="29"/>
  <c r="K19" i="29" l="1"/>
  <c r="F253" i="28"/>
  <c r="I253" i="28" s="1"/>
  <c r="G258" i="28" s="1"/>
  <c r="M105" i="30"/>
  <c r="M108" i="30" l="1"/>
  <c r="F19" i="28" s="1"/>
  <c r="I19" i="28" s="1"/>
  <c r="G21" i="28" s="1"/>
  <c r="D45" i="29"/>
  <c r="D13" i="29" l="1"/>
  <c r="D47" i="29" s="1"/>
  <c r="K259" i="28"/>
  <c r="G45" i="29"/>
  <c r="J45" i="29"/>
  <c r="H45" i="29"/>
  <c r="F45" i="29"/>
  <c r="E45" i="29"/>
  <c r="I45" i="29"/>
  <c r="I259" i="28"/>
  <c r="I13" i="29" l="1"/>
  <c r="I47" i="29" s="1"/>
  <c r="I46" i="29" s="1"/>
  <c r="J13" i="29"/>
  <c r="J47" i="29" s="1"/>
  <c r="J46" i="29" s="1"/>
  <c r="H13" i="29"/>
  <c r="H47" i="29" s="1"/>
  <c r="H46" i="29" s="1"/>
  <c r="G13" i="29"/>
  <c r="G47" i="29" s="1"/>
  <c r="G46" i="29" s="1"/>
  <c r="E13" i="29"/>
  <c r="E47" i="29" s="1"/>
  <c r="E46" i="29" s="1"/>
  <c r="F13" i="29"/>
  <c r="F47" i="29" s="1"/>
  <c r="F46" i="29" s="1"/>
  <c r="K45" i="29"/>
  <c r="M259" i="28"/>
  <c r="D7" i="28"/>
  <c r="K13" i="29" l="1"/>
  <c r="K47" i="29" s="1"/>
  <c r="K46" i="29"/>
  <c r="C7" i="29"/>
  <c r="D7" i="33"/>
  <c r="D7" i="30"/>
  <c r="D7" i="32"/>
  <c r="M7" i="29" l="1"/>
</calcChain>
</file>

<file path=xl/sharedStrings.xml><?xml version="1.0" encoding="utf-8"?>
<sst xmlns="http://schemas.openxmlformats.org/spreadsheetml/2006/main" count="5173" uniqueCount="941">
  <si>
    <t>ITEM</t>
  </si>
  <si>
    <t>DESCRIÇÃO</t>
  </si>
  <si>
    <t>CÓDIGO</t>
  </si>
  <si>
    <t>DIRETA</t>
  </si>
  <si>
    <t>INDIRETA</t>
  </si>
  <si>
    <t>(    )</t>
  </si>
  <si>
    <t>UND.</t>
  </si>
  <si>
    <t>QUANT.</t>
  </si>
  <si>
    <t>CRONOGRAMA FÍSICO-FINANCEIRO</t>
  </si>
  <si>
    <t>FÍSICO / FINANCEIRO</t>
  </si>
  <si>
    <t>TOTAL</t>
  </si>
  <si>
    <t>BDI</t>
  </si>
  <si>
    <t>____________________________________</t>
  </si>
  <si>
    <t xml:space="preserve">FORMA DE EXECUÇÃO: </t>
  </si>
  <si>
    <t>(  x  )</t>
  </si>
  <si>
    <t>PREÇO UNITÁRIO S/ BDI</t>
  </si>
  <si>
    <t>PREÇO UNITÁRIO C/ BDI</t>
  </si>
  <si>
    <t>PREÇO TOTAL</t>
  </si>
  <si>
    <t>ETAPAS</t>
  </si>
  <si>
    <t>TOTAL ETAPAS</t>
  </si>
  <si>
    <t>Físico %</t>
  </si>
  <si>
    <t>Financeiro</t>
  </si>
  <si>
    <t>1º MÊS</t>
  </si>
  <si>
    <t>2º MÊS</t>
  </si>
  <si>
    <t>3º MÊS</t>
  </si>
  <si>
    <t>SERVIÇOS PRELIMINARES</t>
  </si>
  <si>
    <t>2.1</t>
  </si>
  <si>
    <t>2.2</t>
  </si>
  <si>
    <t>PLANILHA ORÇAMENTÁRIA</t>
  </si>
  <si>
    <t>Responsável Técnico: Daniel Teixeira</t>
  </si>
  <si>
    <t>Engenheiro Civil - CREA MG 88325/D</t>
  </si>
  <si>
    <t>SINAPI</t>
  </si>
  <si>
    <t>FONTE</t>
  </si>
  <si>
    <t>M</t>
  </si>
  <si>
    <t>SERVIÇOS COMPLEMENTARES</t>
  </si>
  <si>
    <t>ED-50266</t>
  </si>
  <si>
    <t>3.1</t>
  </si>
  <si>
    <t>1.1</t>
  </si>
  <si>
    <t>1.2</t>
  </si>
  <si>
    <t>1.3</t>
  </si>
  <si>
    <t>1.4</t>
  </si>
  <si>
    <t>M3</t>
  </si>
  <si>
    <t>M2</t>
  </si>
  <si>
    <t>KG</t>
  </si>
  <si>
    <t>UN</t>
  </si>
  <si>
    <t>4.1</t>
  </si>
  <si>
    <t>4.2</t>
  </si>
  <si>
    <t>5.1</t>
  </si>
  <si>
    <t>5.2</t>
  </si>
  <si>
    <t>4º MÊS</t>
  </si>
  <si>
    <t>=</t>
  </si>
  <si>
    <t>Área</t>
  </si>
  <si>
    <t>Quantidade</t>
  </si>
  <si>
    <t>Volume</t>
  </si>
  <si>
    <t>Item</t>
  </si>
  <si>
    <t>MEMÓRIA DE CÁLCULO</t>
  </si>
  <si>
    <t>comprimento</t>
  </si>
  <si>
    <t>ED-49638</t>
  </si>
  <si>
    <t>FORNECIMENTO DE CONCRETO ESTRUTURAL, USINADO BOMBEADO, COM FCK 25 MPA, INCLUSIVE LANÇAMENTO, ADENSAMENTO E ACABAMENTO</t>
  </si>
  <si>
    <t>ED-48298</t>
  </si>
  <si>
    <t>CORTE, DOBRA E MONTAGEM DE AÇO CA-50/60</t>
  </si>
  <si>
    <t>TOTAL ITEM</t>
  </si>
  <si>
    <t>ED-51107</t>
  </si>
  <si>
    <t>ED-49811</t>
  </si>
  <si>
    <t>FORMA E DESFORMA DE COMPENSADO RESINADO, ESP. 12 MM, REAPROVEITAMENTO (3X) (FUNDAÇÃO)</t>
  </si>
  <si>
    <t>ED-51094</t>
  </si>
  <si>
    <t>APILOAMENTO DO FUNDO DE VALAS COM PLACA</t>
  </si>
  <si>
    <t>VIGA BALDRAME</t>
  </si>
  <si>
    <t>-</t>
  </si>
  <si>
    <t>x</t>
  </si>
  <si>
    <t>Peso</t>
  </si>
  <si>
    <t>Area</t>
  </si>
  <si>
    <t>Viga Baldrame</t>
  </si>
  <si>
    <t>volume concreto</t>
  </si>
  <si>
    <t>Pilares</t>
  </si>
  <si>
    <t>3.2</t>
  </si>
  <si>
    <t>2.3</t>
  </si>
  <si>
    <t>3.3</t>
  </si>
  <si>
    <t>VALOR ESTIMADO DA OBRA:</t>
  </si>
  <si>
    <t>BLOCO DE COROAMENTO</t>
  </si>
  <si>
    <t>Bloco</t>
  </si>
  <si>
    <t>0,15 de cada borda dos blocos+vol concreto</t>
  </si>
  <si>
    <t>Vol. Concreto</t>
  </si>
  <si>
    <t>PILAR</t>
  </si>
  <si>
    <t>3.1.1</t>
  </si>
  <si>
    <t>3.1.2</t>
  </si>
  <si>
    <t>3.1.3</t>
  </si>
  <si>
    <t>VIGAS</t>
  </si>
  <si>
    <t>3.2.1</t>
  </si>
  <si>
    <t>3.2.2</t>
  </si>
  <si>
    <t>3.2.3</t>
  </si>
  <si>
    <t>LAJE</t>
  </si>
  <si>
    <t>3.3.1</t>
  </si>
  <si>
    <t>3.3.2</t>
  </si>
  <si>
    <t>5.4</t>
  </si>
  <si>
    <t>5.5</t>
  </si>
  <si>
    <t xml:space="preserve">TOTAL </t>
  </si>
  <si>
    <t>INSTALAÇÃO ELÉTRICA</t>
  </si>
  <si>
    <t>ED-49187</t>
  </si>
  <si>
    <t>ED-49191</t>
  </si>
  <si>
    <t>CAIXA DE LIGAÇÃO DE PVC PARA ELETRODUTO FLEXÍVEL, OCTOGONAL COM ANEL DESLIZANTE, DIMENSÕES 3 X 3"</t>
  </si>
  <si>
    <t>ED-48986</t>
  </si>
  <si>
    <t>ED-48989</t>
  </si>
  <si>
    <t>ED-49414</t>
  </si>
  <si>
    <t>INSTALAÇÃO HIDRÁULICA</t>
  </si>
  <si>
    <t>INSTALAÇÃO HIDROSSANITÁRIA</t>
  </si>
  <si>
    <t>ED-50018</t>
  </si>
  <si>
    <t>ÁGUA FRIA</t>
  </si>
  <si>
    <t>ED-50019</t>
  </si>
  <si>
    <t>FORNECIMENTO E ASSENTAMENTO DE TUBO PVC RÍGIDO SOLDÁVEL, ÁGUA FRIA, DN 25 MM (3/4") , INCLUSIVE CONEXÕES</t>
  </si>
  <si>
    <t>ESGOTO</t>
  </si>
  <si>
    <t>ED-50029</t>
  </si>
  <si>
    <t>FORNECIMENTO E ASSENTAMENTO DE TUBO PVC RÍGIDO, ESGOTO, PBV - SÉRIE NORMAL, DN 100 MM (4"), INCLUSIVE CONEXÕES</t>
  </si>
  <si>
    <t>ED-50027</t>
  </si>
  <si>
    <t>FORNECIMENTO E ASSENTAMENTO DE TUBO PVC RÍGIDO, ESGOTO, PBV - SÉRIE NORMAL, DN 50 MM (2"), INCLUSIVE CONEXÕES</t>
  </si>
  <si>
    <t>ED-50034</t>
  </si>
  <si>
    <t>FORNECIMENTO E ASSENTAMENTO DE TUBO PVC RÍGIDO, ESGOTO, PBV - SÉRIE NORMAL, DN 40 MM (1.1/2"), INCLUSIVE CONEXÕES</t>
  </si>
  <si>
    <t>VALOR TOTAL DA OBRA</t>
  </si>
  <si>
    <t>ED-50174</t>
  </si>
  <si>
    <t>PINTURA COM EMULSÃO ASFÁLTICA, DUAS (2) DEMÃOS</t>
  </si>
  <si>
    <t>perimetro</t>
  </si>
  <si>
    <t>area</t>
  </si>
  <si>
    <t>lastro 5cm</t>
  </si>
  <si>
    <t>Volume escavado</t>
  </si>
  <si>
    <t>FITA ISOLANTE DE BORRACHA AUTOFUSAO, USO ATE 69 KV (ALTA TENSAO)</t>
  </si>
  <si>
    <t>ED-50011</t>
  </si>
  <si>
    <t>CAIXA SIFONADA EM PVC COM GRELHA REDONDA 100 X 100 X 50 MM</t>
  </si>
  <si>
    <t>ED-49883</t>
  </si>
  <si>
    <t>CAIXA DE ESGOTO DE INSPEÇÃO/PASSAGEM EM ALVENARIA (60X60X60CM), REVESTIMENTO EM ARGAMASSA COM ADITIVO IMPERMEABILIZANTE, COM TAMPA DE CONCRETO, INCLUSIVE ESCAVAÇÃO, REATERRO E TRANSPORTE E RETIRADA DO MATERIAL ESCAVADO (EM CAÇAMBA)</t>
  </si>
  <si>
    <t>5º MÊS</t>
  </si>
  <si>
    <t>3.3.3</t>
  </si>
  <si>
    <t>Vol.</t>
  </si>
  <si>
    <t>ED-49970</t>
  </si>
  <si>
    <t>REGISTRO DE GAVETA, TIPO BRUTO, ROSCÁVEL 1/2" (PARA TUBO SOLDÁVEL OU PPR DN 20MM/CPVC DN 15MM), INCLUSIVE VOLANTE PARA ACIONAMENTO</t>
  </si>
  <si>
    <t>quant</t>
  </si>
  <si>
    <t>6º MÊS</t>
  </si>
  <si>
    <t>meses</t>
  </si>
  <si>
    <t>Baldrame</t>
  </si>
  <si>
    <t>VENTILAÇÃO</t>
  </si>
  <si>
    <t>89798</t>
  </si>
  <si>
    <t>TUBO PVC, SERIE NORMAL, ESGOTO PREDIAL, DN 50 MM, FORNECIDO E INSTALADO EM PRUMADA DE ESGOTO SANITÁRIO OU VENTILAÇÃO. AF_12/2014</t>
  </si>
  <si>
    <t>TERMINAL DE VENTILACAO, 50 MM, SERIE NORMAL, ESGOTO PREDIAL</t>
  </si>
  <si>
    <t>ED-5620</t>
  </si>
  <si>
    <t>PLACA 4"X2" PARA UM (1) MÓDULO, INCLUSIVE FORNECIMENTO E INSTALAÇÃO, EXCLUSIVE SUPORTE E MÓDULO</t>
  </si>
  <si>
    <t>ED-5621</t>
  </si>
  <si>
    <t>PLACA 4"X2" PARA DOIS (2) MÓDULOS, INCLUSIVE FORNECIMENTO E INSTALAÇÃO, EXCLUSIVE SUPORTE E MÓDULO</t>
  </si>
  <si>
    <t xml:space="preserve">BOLSA DE LIGACAO EM PVC FLEXIVEL PARA VASO SANITARIO 1.1/2 " (40 MM)                                                                                                                                                                                                                                                                                                                                                                                                                                      </t>
  </si>
  <si>
    <t>LIMPEZA FINAL PARA ENTREGA DA OBRA</t>
  </si>
  <si>
    <t>SINAPI-I</t>
  </si>
  <si>
    <t>medidas retiradas do autocad</t>
  </si>
  <si>
    <t xml:space="preserve">CABO DE COBRE FLEXÍVEL, CLASSE 5, ISOLAMENTO TIPO EPR/HEPR, NÃO HALOGENADO, ANTICHAMA, TERMOFIXO, UNIPOLAR, SEÇÃO 2,5 MM2, 90°C, 0,6/1KV </t>
  </si>
  <si>
    <t>ELETRODUTO FLEXÍVEL CORRUGADO, PVC, ANTI-CHAMA, DN 25MM (3/4"), APLICADO EM ALVENARIA, INCLUSIVE RASGO</t>
  </si>
  <si>
    <t>ED-49415</t>
  </si>
  <si>
    <t>ELETRODUTO FLEXÍVEL CORRUGADO, PVC, ANTI-CHAMA, DN 32MM (1"), APLICADO EM ALVENARIA, INCLUSIVE RASGO</t>
  </si>
  <si>
    <t>3.3.4</t>
  </si>
  <si>
    <t>3.3.5</t>
  </si>
  <si>
    <t>CABO DE COBRE FLEXÍVEL, CLASSE 5, ISOLAMENTO TIPO EPR/HEPR, NÃO HALOGENADO, ANTICHAMA, TERMOFIXO, UNIPOLAR, SEÇÃO 1,5 MM2, 90°C, 0,6/1KV</t>
  </si>
  <si>
    <t>ED-48992</t>
  </si>
  <si>
    <t>CABO DE COBRE FLEXÍVEL, CLASSE 5, ISOLAMENTO TIPO EPR/HEPR, NÃO HALOGENADO, ANTICHAMA, TERMOFIXO, UNIPOLAR, SEÇÃO 4 MM2, 90°C, 0,6/1KV</t>
  </si>
  <si>
    <t>86884</t>
  </si>
  <si>
    <t>ENGATE FLEXÍVEL EM PLÁSTICO BRANCO, 1/2 X 30CM - FORNECIMENTO E INSTALAÇÃO. AF_01/2020</t>
  </si>
  <si>
    <t>construida</t>
  </si>
  <si>
    <t>92427</t>
  </si>
  <si>
    <t>MONTAGEM E DESMONTAGEM DE FÔRMA DE PILARES RETANGULARES E ESTRUTURAS SIMILARES, PÉ-DIREITO SIMPLES, EM CHAPA DE MADEIRA COMPENSADA RESINADA, 8 UTILIZAÇÕES. AF_09/2020</t>
  </si>
  <si>
    <t>92472</t>
  </si>
  <si>
    <t>MONTAGEM E DESMONTAGEM DE FÔRMA DE VIGA, ESCORAMENTO METÁLICO, PÉ-DIREITO SIMPLES, EM CHAPA DE MADEIRA PLASTIFICADA, 12 UTILIZAÇÕES. AF_09/2020</t>
  </si>
  <si>
    <t>Vigas Terreo</t>
  </si>
  <si>
    <t>ED-49915</t>
  </si>
  <si>
    <t>CAIXA DE DRENAGEM DE INSPEÇÃO/PASSAGEM EM ALVENARIA (60X60X60CM), REVESTIMENTO EM ARGAMASSA COM ADITIVO IMPERMEABILIZANTE, COM TAMPA EM GRELHA, INCLUSIVE ESCAVAÇÃO, REATERRO E TRANSPORTE E RETIRADA DO MATERIAL ESCAVADO (EM CAÇAMBA)</t>
  </si>
  <si>
    <t>7.1</t>
  </si>
  <si>
    <t>7.2</t>
  </si>
  <si>
    <t>7.3</t>
  </si>
  <si>
    <t>8.1</t>
  </si>
  <si>
    <t>CAIXA DE LIGAÇÃO/PASSAGEM EM PVC RÍGIDO PARA ELETRODUTO, DIMENSÕES 4"X2", EMBUTIDA EM ALVENARIA - FORNECIMENTO E INSTALAÇÃO</t>
  </si>
  <si>
    <t>92022</t>
  </si>
  <si>
    <t>INTERRUPTOR SIMPLES (1 MÓDULO) COM 1 TOMADA DE EMBUTIR 2P+T 10 A,  SEM SUPORTE E SEM PLACA - FORNECIMENTO E INSTALAÇÃO. AF_12/2015</t>
  </si>
  <si>
    <t>ED-5626</t>
  </si>
  <si>
    <t>MÓDULO TOMADA PADRÃO, TRÊS (3) POLOS, CORRENTE 10A, TENSÃO 250V, (2P+T/10A-250V), INCLUSIVE FORNECIMENTO E INSTALAÇÃO, EXCLUSIVE PLACA E SUPORTE</t>
  </si>
  <si>
    <t>_______________________________________</t>
  </si>
  <si>
    <t>CJ</t>
  </si>
  <si>
    <t>4.3</t>
  </si>
  <si>
    <t>103674</t>
  </si>
  <si>
    <t>CONCRETAGEM DE VIGAS E LAJES, FCK=25 MPA, PARA LAJES PREMOLDADAS COM USO DE BOMBA - LANÇAMENTO, ADENSAMENTO E ACABAMENTO. AF_02/2022_PS</t>
  </si>
  <si>
    <t>103672</t>
  </si>
  <si>
    <t>CONCRETAGEM DE PILARES, FCK = 25 MPA, COM USO DE BOMBA - LANÇAMENTO, ADENSAMENTO E ACABAMENTO. AF_02/2022_PS</t>
  </si>
  <si>
    <t>ED-29582</t>
  </si>
  <si>
    <t>ARMADURA DE TELA DE AÇO CA-60, SOLDADA TIPO Q-138, DIÂMETRO Ø4,2MM, TRAMA COM DIMENSÃO (100X100)MM, INCLUSIVE ESPAÇADOR, EXCLUSIVE CONCRETO</t>
  </si>
  <si>
    <t>ED-29581</t>
  </si>
  <si>
    <t>ARMADURA DE TELA DE AÇO CA-60, SOLDADA TIPO Q-92, DIÂMETRO Ø4,2MM, TRAMA COM DIMENSÃO (150X150)MM, INCLUSIVE ESPAÇADOR, EXCLUSIVE CONCRETO</t>
  </si>
  <si>
    <t>escola</t>
  </si>
  <si>
    <t>BDI DS</t>
  </si>
  <si>
    <t>Baldrame 20x40</t>
  </si>
  <si>
    <t>Vigas terreo</t>
  </si>
  <si>
    <t>Laje terreo</t>
  </si>
  <si>
    <t>Área 1 pav</t>
  </si>
  <si>
    <t>89512</t>
  </si>
  <si>
    <t>TUBO PVC, SÉRIE R, ÁGUA PLUVIAL, DN 100 MM, FORNECIDO E INSTALADO EM RAMAL DE ENCAMINHAMENTO. AF_06/2022</t>
  </si>
  <si>
    <t>89578</t>
  </si>
  <si>
    <t>TUBO PVC, SÉRIE R, ÁGUA PLUVIAL, DN 100 MM, FORNECIDO E INSTALADO EM CONDUTORES VERTICAIS DE ÁGUAS PLUVIAIS. AF_06/2022</t>
  </si>
  <si>
    <t>COBERTURA</t>
  </si>
  <si>
    <t>terreo</t>
  </si>
  <si>
    <t>94228</t>
  </si>
  <si>
    <t>CALHA EM CHAPA DE AÇO GALVANIZADO NÚMERO 24, DESENVOLVIMENTO DE 50 CM, INCLUSO TRANSPORTE VERTICAL. AF_07/2019</t>
  </si>
  <si>
    <t>ED-50677</t>
  </si>
  <si>
    <t>RUFO E CONTRARRUFO EM CHAPA GALVANIZADA, ESP. 0,65MM (GSG-24), COM DESENVOLVIMENTO DE 25CM, INCLUSIVE IÇAMENTO MANUAL VERTICAL</t>
  </si>
  <si>
    <t>6.1</t>
  </si>
  <si>
    <t>6.2</t>
  </si>
  <si>
    <t>6.3</t>
  </si>
  <si>
    <t>ED-48160</t>
  </si>
  <si>
    <t>BARRA DE APOIO EM AÇO INOX POLIDO RETA, DN 1.1/4" (31,75MM), PARA ACESSIBILIDADE (PMR/PCR), COMPRIMENTO 80CM, INSTALADO EM PAREDE, INCLUSIVE FORNECIMENTO, INSTALAÇÃO E ACESSÓRIOS PARA FIXAÇÃO</t>
  </si>
  <si>
    <t>ED-48162</t>
  </si>
  <si>
    <t>BARRA DE APOIO EM AÇO INOX POLIDO RETA, DN 1.1/4" (31,75MM), PARA ACESSIBILIDADE (PMR/PCR), COMPRIMENTO 90CM, INSTALADO EM PAREDE, INCLUSIVE FORNECIMENTO, INSTALAÇÃO E ACESSÓRIOS PARA FIXAÇÃO</t>
  </si>
  <si>
    <t>ED-48164</t>
  </si>
  <si>
    <t>BARRA DE APOIO EM AÇO INOX POLIDO RETA, DN 1.1/4" (31,75MM), PARA ACESSIBILIDADE (PMR/PCR), COMPRIMENTO 70CM, INSTALADO EM PAREDE, INCLUSIVE FORNECIMENTO, INSTALAÇÃO E ACESSÓRIOS PARA FIXAÇÃO</t>
  </si>
  <si>
    <t>ED-48183</t>
  </si>
  <si>
    <t>PAPELEIRA PLASTICA TIPO DISPENSER PARA PAPEL HIGIENICO ROLAO</t>
  </si>
  <si>
    <t>ED-48188</t>
  </si>
  <si>
    <t>SABONETEIRA PLASTICA TIPO DISPENSER PARA SABONETE LIQUIDO COM RESERVATORIO 800 ML</t>
  </si>
  <si>
    <t>8.2</t>
  </si>
  <si>
    <t>quant.</t>
  </si>
  <si>
    <t xml:space="preserve">OBS: Vide "Projeto Hidrossanitário" </t>
  </si>
  <si>
    <t>compr</t>
  </si>
  <si>
    <t>cobertura</t>
  </si>
  <si>
    <t>ED-50935</t>
  </si>
  <si>
    <t>CORRIMÃO SIMPLES EM TUBO GALVANIZADO, COM COSTURA, DIÂMETRO 1.1/2", ESP. 3MM, FIXADO EM ALVENARIA, INCLUSIVE SUPORTE PARA CORRIMÃO EM BARRA CHATA (1"X1/2"), EXCLUSIVE PINTURA</t>
  </si>
  <si>
    <t>MOVIMENTAÇÃO DE TERRA</t>
  </si>
  <si>
    <t>Terreno</t>
  </si>
  <si>
    <t>ED-29231</t>
  </si>
  <si>
    <t>TRANSPORTE DE MATERIAL DE QUALQUER NATUREZA EM CAMINHÃO, DISTÂNCIA MAIOR QUE 2KM E MENOR OU IGUAL A 5KM, DENTRO DO PERÍMETRO URBANO, EXCLUSIVE CARGA, INCLUSIVE DESCARGA</t>
  </si>
  <si>
    <t>M3xKM</t>
  </si>
  <si>
    <t>ED-48232</t>
  </si>
  <si>
    <t>ALVENARIA DE VEDAÇÃO COM TIJOLO CERÂMICO FURADO, ESP. 14CM, PARA REVESTIMENTO, INCLUSIVE ARGAMASSA PARA ASSENTAMENTO</t>
  </si>
  <si>
    <t>ED-9906</t>
  </si>
  <si>
    <t>ED-9903</t>
  </si>
  <si>
    <t>PAREDES</t>
  </si>
  <si>
    <t>ED-50729</t>
  </si>
  <si>
    <t>CHAPISCO COM ARGAMASSA, TRAÇO 1:3 (CIMENTO E AREIA), ESP. 5MM, APLICADO EM ALVENARIA COM PENEIRA, PREPARO MECÂNICO</t>
  </si>
  <si>
    <t>ED-50759</t>
  </si>
  <si>
    <t>REBOCO COM ARGAMASSA, TRAÇO 1:7 (CIMENTO E AREIA), ESP. 20MM, APLICAÇÃO MANUAL, PREPARO MECÂNICO</t>
  </si>
  <si>
    <t>ED-50760</t>
  </si>
  <si>
    <t>REBOCO COM ARGAMASSA, TRAÇO 1:2:9 (CIMENTO, CAL E AREIA), COM ADITIVO IMPERMEABILIZANTE, ESP. 20MM, APLICAÇÃO MANUAL, PREPARO MECÂNICO</t>
  </si>
  <si>
    <t>PISOS</t>
  </si>
  <si>
    <t>ED-51123</t>
  </si>
  <si>
    <t xml:space="preserve">REGULARIZAÇÃO E COMPACTAÇÃO DE TERRENO COM PLACA VIBRATÓRIA </t>
  </si>
  <si>
    <t>ED-50569</t>
  </si>
  <si>
    <t xml:space="preserve">CONTRAPISO DESEMPENADO COM ARGAMASSA, TRAÇO 1:3 (CIMENTO E AREIA), ESP. 50MM </t>
  </si>
  <si>
    <t>ED-50600</t>
  </si>
  <si>
    <t>APLICAÇÃO DE LONA PRETA, ESP. 150 MICRAS, INCLUSIVE FORNECIMENTO</t>
  </si>
  <si>
    <t>ED-50170</t>
  </si>
  <si>
    <t>CAMADA DE REGULARIZAÇÃO ARGAMASSA TRAÇO 1:3, ESPESSURA MÉDIA 3,0 CM</t>
  </si>
  <si>
    <t>TETOS</t>
  </si>
  <si>
    <t>ED-50728</t>
  </si>
  <si>
    <t>ED-9075</t>
  </si>
  <si>
    <t>FORNECIMENTO DE ANDAIME METÁLICO PARA FACHADA (LOCAÇÃO), INCLUSIVE PISO METÁLICO E SAPATAS, EXCLUSIVE MONTAGEM E DESMONTAGEM</t>
  </si>
  <si>
    <t>ED-48246</t>
  </si>
  <si>
    <t>MONTAGEM E DESMONTAGEM DE ANDAIME METÁLICO PARA FACHADA COM PISO METÁLICO, EXCLUSIVE FORNECIMENTO DO ANDAIME E RODAPÉ/GUARDA-CORPO EM MADEIRA</t>
  </si>
  <si>
    <t>PINTURA</t>
  </si>
  <si>
    <t>ED-50478</t>
  </si>
  <si>
    <t>EMASSAMENTO EM PAREDE COM MASSA CORRIDA (PVA), DUAS (2) DEMÃOS, INCLUSIVE LIXAMENTO PARA PINTURA</t>
  </si>
  <si>
    <t>MADEIRAS</t>
  </si>
  <si>
    <t>ED-50491</t>
  </si>
  <si>
    <t>PINTURA ESMALTE EM ESQUADRIAS DE FERRO, DUAS (2) DEMÃOS, INCLUSIVE UMA (1) DEMÃO DE FUNDO ANTICORROSIVO</t>
  </si>
  <si>
    <t>13.1</t>
  </si>
  <si>
    <t>14.1</t>
  </si>
  <si>
    <t>altura</t>
  </si>
  <si>
    <t>PROJ. ARQUITETONICO</t>
  </si>
  <si>
    <t>Altura</t>
  </si>
  <si>
    <t>largura</t>
  </si>
  <si>
    <t>VERGA OU CONTRAVERGA EM CONCRETO ESTRUTURAL PARA VÃOS ACIMA DE 150CM, PREPARADO EM OBRA COM BETONEIRA, CONTROLE "A", COM FCK 20 MPA, MOLDADA IN LOCO, INCLUSIVE ARMAÇÃO</t>
  </si>
  <si>
    <t>VERGA OU CONTRAVERGA EM CONCRETO ESTRUTURAL PARA VÃOS DE ATÉ 150CM, PREPARADO EM OBRA COM BETONEIRA, CONTROLE "A", COM FCK 20 MPA, MOLDADA IN LOCO, INCLUSIVE ARMAÇÃO</t>
  </si>
  <si>
    <t>0,15 de cada borda dos blocos+area bloco</t>
  </si>
  <si>
    <t>larg. Viga</t>
  </si>
  <si>
    <t>Volume vigas e blocos</t>
  </si>
  <si>
    <t>COMPOSIÇÃO DE CUSTO</t>
  </si>
  <si>
    <t>COMPOSIÇÃO</t>
  </si>
  <si>
    <t>UNIDADE</t>
  </si>
  <si>
    <t>TIPO</t>
  </si>
  <si>
    <t>CODIGO</t>
  </si>
  <si>
    <t>UNID</t>
  </si>
  <si>
    <t>ÍNDICE</t>
  </si>
  <si>
    <t>UNIT. (R$)</t>
  </si>
  <si>
    <t>INSUMO / COMPOSIÇÃO</t>
  </si>
  <si>
    <t>COEF.</t>
  </si>
  <si>
    <t>CUSTO UNITÁRIO</t>
  </si>
  <si>
    <t>SUBTOTAL</t>
  </si>
  <si>
    <t>SERVENTE COM ENCARGOS COMPLEMENTARES</t>
  </si>
  <si>
    <t>H</t>
  </si>
  <si>
    <t>VALOR TOTAL</t>
  </si>
  <si>
    <t>INSUMO</t>
  </si>
  <si>
    <t>compr.</t>
  </si>
  <si>
    <t>mais 20cm p/ cada lado</t>
  </si>
  <si>
    <t>quantid</t>
  </si>
  <si>
    <t>ED-50367</t>
  </si>
  <si>
    <t>hora</t>
  </si>
  <si>
    <t>M2xMÊS</t>
  </si>
  <si>
    <t>Perímetro Externo</t>
  </si>
  <si>
    <t>Perímetro</t>
  </si>
  <si>
    <t>Área de pintura</t>
  </si>
  <si>
    <t>duração (meses)</t>
  </si>
  <si>
    <t>ALVENARIA / DIVISORIAS E BANCADAS</t>
  </si>
  <si>
    <t>15.1</t>
  </si>
  <si>
    <t>comprim</t>
  </si>
  <si>
    <t xml:space="preserve">ESQUADRIAS </t>
  </si>
  <si>
    <t>CHAPISCO COM ARGAMASSA, TRAÇO 1:3 (CIMENTO E AREIA), ESP. 5MM, APLICADO EM TETO COM COLHER, INCLUSIVE ARGAMASSA COM PREPARO MECANIZADO</t>
  </si>
  <si>
    <t>ED-49687</t>
  </si>
  <si>
    <t>ED-28454</t>
  </si>
  <si>
    <t>PERFIL TABICA GALVANIZADO, TIPO LISA, COM ACABAMENTO EM PINTURA, NA COR BRANCA, PARA FORRO EM CHAPA DE GESSO ACARTONADO, INCLUSIVE ACESSÓRIOS DE FIXAÇÃO</t>
  </si>
  <si>
    <t>is fem</t>
  </si>
  <si>
    <t>METAIS</t>
  </si>
  <si>
    <t>ED-50532</t>
  </si>
  <si>
    <t>PINTURA ANTICORROSIVA A BASE DE ÓXIDO DE FERRO (ZARCÃO) EM ESQUADRIA E SUPERFÍCIE METÁLICA, UMA (1) DEMÃO</t>
  </si>
  <si>
    <t>ED-50482</t>
  </si>
  <si>
    <t>EMASSAMENTO EM ESQUADRIA DE MADEIRA COM MASSA A ÓLEO, DUAS (2) DEMÃOS, INCLUSIVE LIXAMENTO PARA PINTURA  A ÓLEO OU ESMALTE</t>
  </si>
  <si>
    <t>ED-50493</t>
  </si>
  <si>
    <t>15.2</t>
  </si>
  <si>
    <t>lados</t>
  </si>
  <si>
    <t>KM</t>
  </si>
  <si>
    <t>h=5cm</t>
  </si>
  <si>
    <t>peso/m</t>
  </si>
  <si>
    <t>mais 10%</t>
  </si>
  <si>
    <t>A01</t>
  </si>
  <si>
    <t>A02</t>
  </si>
  <si>
    <t>A03</t>
  </si>
  <si>
    <t>90778</t>
  </si>
  <si>
    <t>ENGENHEIRO CIVIL DE OBRA PLENO COM ENCARGOS COMPLEMENTARES</t>
  </si>
  <si>
    <t>90776</t>
  </si>
  <si>
    <t>ENCARREGADO GERAL COM ENCARGOS COMPLEMENTARES</t>
  </si>
  <si>
    <t>ED-50270</t>
  </si>
  <si>
    <t>LIMPEZA PERMANENTE DA OBRA - 01 SERVENTE X 4 HORAS DIÁRIAS</t>
  </si>
  <si>
    <t>MÊS</t>
  </si>
  <si>
    <t>Construção</t>
  </si>
  <si>
    <t xml:space="preserve">TORNEIRA METALICA CROMADA DE MESA, PARA LAVATORIO, TEMPORIZADA PRESSAO FECHAMENTO AUTOMATICO, BICA BAIXA                                                                                                                                                                                                                                                                                                                                                                                                  </t>
  </si>
  <si>
    <t>ED-50732</t>
  </si>
  <si>
    <t>EMBOÇO COM ARGAMASSA, TRAÇO 1:6 (CIMENTO E AREIA), ESP. 20MM, APLICAÇÃO MANUAL, INCLUSIVE ARGAMASSA COM PREPARO MECANIZADO, EXCLUSIVE CHAPISCO</t>
  </si>
  <si>
    <t xml:space="preserve">ÁGUA PLUVIAL / DRENAGEM </t>
  </si>
  <si>
    <t>Conforme legislação tributária municipal, definir estimativa de percentual da base de cálculo para o ISS:</t>
  </si>
  <si>
    <t>Sobre a base de cálculo, definir a respectiva alíquota do ISS (entre 2% e 5%):</t>
  </si>
  <si>
    <t>TIPO DE OBRA</t>
  </si>
  <si>
    <t>Construção e Reforma de Edifícios</t>
  </si>
  <si>
    <t>Itens</t>
  </si>
  <si>
    <t>Siglas</t>
  </si>
  <si>
    <t>% Adotado</t>
  </si>
  <si>
    <t>Tributos (impostos COFINS 3%, e  PIS 0,65%)</t>
  </si>
  <si>
    <t>CP</t>
  </si>
  <si>
    <t>Tributos (ISS, variável de acordo com o município)</t>
  </si>
  <si>
    <t>ISS</t>
  </si>
  <si>
    <t>BDI SEM desoneração (Fórmula Acórdão TCU)</t>
  </si>
  <si>
    <t>BDI PAD</t>
  </si>
  <si>
    <t>Os valores de BDI foram calculados com o emprego da fórmula:</t>
  </si>
  <si>
    <t>BDI =</t>
  </si>
  <si>
    <t xml:space="preserve"> - 1</t>
  </si>
  <si>
    <t>(1-CP-ISS-CRPB)</t>
  </si>
  <si>
    <t>CALCULO DO BDI</t>
  </si>
  <si>
    <t>AC</t>
  </si>
  <si>
    <t>SG</t>
  </si>
  <si>
    <t>R</t>
  </si>
  <si>
    <t>DF</t>
  </si>
  <si>
    <t>L</t>
  </si>
  <si>
    <t>(1+AC + S + R + G)*(1 + DF)*(1+L)</t>
  </si>
  <si>
    <t>Administração Central</t>
  </si>
  <si>
    <t>Seguro e Garantia</t>
  </si>
  <si>
    <t>Risco</t>
  </si>
  <si>
    <t>Despesas Financeiras</t>
  </si>
  <si>
    <t>Lucro</t>
  </si>
  <si>
    <t>DATA:</t>
  </si>
  <si>
    <t>99059</t>
  </si>
  <si>
    <t>LOCACAO CONVENCIONAL DE OBRA, UTILIZANDO GABARITO DE TÁBUAS CORRIDAS PONTALETADAS A CADA 2,00M -  2 UTILIZAÇÕES. AF_10/2018</t>
  </si>
  <si>
    <t>ED-29823</t>
  </si>
  <si>
    <t>TAPUME FIXO DE PROTEÇÃO PARA FECHAMENTO DE OBRA EM TELHA METÁLICA GALVANIZADA, TIPO TRAPEZOIDAL, ESP. 0,5MM, COM MÓDULO NA DIMENSÃO DE (300X220)CM, COM REAPROVEITAMENTO, EXCLUSIVE PINTURA ESMALTE, INCLUSIVE PONTALETE E FIXAÇÃO</t>
  </si>
  <si>
    <t>ED-50162</t>
  </si>
  <si>
    <t>PORTÃO PARA TAPUME FIXO DE PROTEÇÃO COM FECHAMENTO DE OBRA EM CHAPA DE COMPENSADO, ESP. 12MM, COM MÓDULO NA DIMENSÃO DE (110X220)CM, INCLUSIVE FERRAGENS E PINTURA LÁTEX (PVA) COM DUAS (2) DEMÃOS</t>
  </si>
  <si>
    <t>ESTACA TRADO ROTATIVO</t>
  </si>
  <si>
    <t>ED-29817</t>
  </si>
  <si>
    <t>MOBILIZAÇÃO E DESMOBILIZAÇÃO DE EQUIPAMENTO PARA ESTACA TIPO TRADO ROTATIVO (CUSTO FIXO), INCLUSIVE CARGA E DESCARGA, EXCLUSIVE TRANSPORTE EM QUILÔMETRO RODADO (CUSTO VARIÁVEL)</t>
  </si>
  <si>
    <t>ED-29818</t>
  </si>
  <si>
    <t>MOBILIZAÇÃO E DESMOBILIZAÇÃO DE EQUIPAMENTO PARA ESTACA TIPO TRADO ROTATIVO (CUSTO VARIÁVEL), EXCLUSIVE CUSTO FIXO DE TRANSPORTE</t>
  </si>
  <si>
    <t>ED-29802</t>
  </si>
  <si>
    <t>PERFURAÇÃO MECÂNICA DE ESTACA TIPO TRADO ROTATIVO, INCLUSIVE AFASTAMENTO LATERAL, EXCLUSIVE ARMAÇÃO, CONCRETO ESTRUTURAL, TRANSPORTE E RETIRADA DO MATERIAL ESCAVADO</t>
  </si>
  <si>
    <t>FORNECIMENTO DE CONCRETO ESTRUTURAL, USINADO BOMBEADO, COM FCK 25MPA, INCLUSIVE LANÇAMENTO, ADENSAMENTO E ACABAMENTO</t>
  </si>
  <si>
    <t>0,20m de cada borda dos blocos+area bloco</t>
  </si>
  <si>
    <t>Quant</t>
  </si>
  <si>
    <t>larg. Viga + 20cm c/ lado</t>
  </si>
  <si>
    <t xml:space="preserve">Área </t>
  </si>
  <si>
    <t>ED-48209</t>
  </si>
  <si>
    <t>PAREDE DE GESSO ACARTONADO (DRY-WALL), DIVISÃO ENTRE ÁREAS SECAS DE UMA MESMA UNIDADE (ST/ST), ESP. 115 MM, INCLUSIVE MONTANTES, GUIAS E ACESSÓRIOS, EXCLUSIVE ISOLANTE TÉRMICO/ACÚSTICO</t>
  </si>
  <si>
    <t>ED-48343</t>
  </si>
  <si>
    <t>BANCADA EM GRANITO CINZA ANDORINHA E = 3 CM, APOIADA EM CONSOLE DE METALON 20 X 30 MM</t>
  </si>
  <si>
    <t>ED-48342</t>
  </si>
  <si>
    <t>FURO DE BOJO EM BANCADA DE GRANITO/MÁRMORE, INCLUSIVE COLAGEM COM MASSA PLÁSTICA</t>
  </si>
  <si>
    <t>ED-48348</t>
  </si>
  <si>
    <t>RODABANCA/FRONTÃO PARA BANCADA EM GRANITO, COR CINZA ANDORINHA, ESP. 2CM, ALTURA DE 10CM, INCLUSIVE REJUNTAMENTO EM MASSA PLÁSTICA NA COR DA PEDRA</t>
  </si>
  <si>
    <t>ED-51002</t>
  </si>
  <si>
    <t>SOLEIRA EM GRANITO, NA COR CINZA ANDORINHA, ESP. 2CM, INCLUSIVE REJUNTAMENTO</t>
  </si>
  <si>
    <t>ED-50997</t>
  </si>
  <si>
    <t>PEITORIL DE GRANITO CINZA ANDORINHA E = 2 CM</t>
  </si>
  <si>
    <t>mais 2,50 cm p/ cada lado</t>
  </si>
  <si>
    <t>ED-49603</t>
  </si>
  <si>
    <t>ED-49604</t>
  </si>
  <si>
    <t>87265</t>
  </si>
  <si>
    <t>REVESTIMENTO CERÂMICO PARA PAREDES INTERNAS COM PLACAS TIPO ESMALTADA EXTRA DE DIMENSÕES 20X20 CM APLICADAS NA ALTURA INTEIRA DAS PAREDES.  AF_02/2023_PE</t>
  </si>
  <si>
    <t>87263</t>
  </si>
  <si>
    <t>REVESTIMENTO CERÂMICO PARA PISO COM PLACAS TIPO PORCELANATO DE DIMENSÕES 60X60 CM APLICADA EM AMBIENTES DE ÁREA MAIOR QUE 10 M². AF_02/2023_PE</t>
  </si>
  <si>
    <t>ED-51145</t>
  </si>
  <si>
    <t>PASSEIOS DE CONCRETO E = 6 CM, FCK = 10 MPA, JUNTA SECA</t>
  </si>
  <si>
    <t>ED-50543</t>
  </si>
  <si>
    <t>REVESTIMENTO COM CERÂMICA APLICADO EM PISO, ACABAMENTO ESMALTADO, AMBIENTE EXTERNO (ANTIDERRAPANTE), PADRÃO EXTRA, DIMENSÃO DA PEÇA ATÉ 2025 CM2, PEI V, ASSENTAMENTO COM ARGAMASSA INDUSTRIALIZADA, INCLUSIVE REJUNTAMENTO</t>
  </si>
  <si>
    <t>rampa</t>
  </si>
  <si>
    <t>ED-50763</t>
  </si>
  <si>
    <t>REVESTIMENTO COM ARGAMASSA EM CAMADA ÚNICA, APLICADO EM TETO, TRAÇO 1:3 (CIMENTO E AREIA), ESP. 20MM, APLICAÇÃO MANUAL, INCLUSIVE ARGAMASSA COM PREPARO MECANIZADO, EXCLUSIVE CHAPISCO</t>
  </si>
  <si>
    <t>ED-13338</t>
  </si>
  <si>
    <t>LUMINÁRIA COMERCIAL CHANFRADA DE SOBREPOR COMPLETA, PARA DUAS (2) LÂMPADAS TUBULARES LED 2X18W-ØT8, TEMPERATURA DA COR 6500K, FORNECIMENTO E INSTALAÇÃO, INCLUSIVE BASE E LÂMPADAS</t>
  </si>
  <si>
    <t>ED-13355</t>
  </si>
  <si>
    <t>LUMINÁRIA PLAFON REDONDO DE VIDRO JATEADO REDONDO, DIÂMETRO 25 CM, PARA UMA (1) LÂMPADA BASE E-27, FORNECIMENTO E INSTALAÇÃO, INCLUSIVE BASE, EXCLUSIVE LÂMPADA</t>
  </si>
  <si>
    <t>97610</t>
  </si>
  <si>
    <t>LÂMPADA COMPACTA DE LED 10 W, BASE E27 - FORNECIMENTO E INSTALAÇÃO. AF_02/2020</t>
  </si>
  <si>
    <t>ED-13343</t>
  </si>
  <si>
    <t>LÂMPADA LED, BASE E27, POTÊNCIA 15W, BULBO A65, TEMPERATURA DA COR 6500K, TENSÃO 110-127V, FORNECIMENTO E INSTALAÇÃO, EXCLUSIVE LUMINÁRIA</t>
  </si>
  <si>
    <t>88485</t>
  </si>
  <si>
    <t>FUNDO SELADOR ACRÍLICO, APLICAÇÃO MANUAL EM PAREDE, UMA DEMÃO. AF_04/2023</t>
  </si>
  <si>
    <t>ED-50498</t>
  </si>
  <si>
    <t>PINTURA LÁTEX (PVA) EM PAREDE, DUAS (2) DEMÃOS, EXCLUSIVE SELADOR ACRÍLICO E MASSA ACRÍLICA/CORRIDA (PVA)</t>
  </si>
  <si>
    <t>ED-50516</t>
  </si>
  <si>
    <t>PREPARAÇÃO PARA EMASSAMENTO OU PINTURA (LÁTEX/ACRÍLICA) EM PAREDE OU FORRO EM CHAPA DE GESSO ACARTONADO (DRYWALL), INCLUSIVE UMA (1) DEMÃO DE SELADOR ACRÍLICO</t>
  </si>
  <si>
    <t>ED-50484</t>
  </si>
  <si>
    <t>EMASSAMENTO EM PAREDE EM CHAPA DE GESSO ACARTONADO (DRYWALL) COM MASSA CORRIDA (PVA), UMA (1) DEMÃO, INCLUSIVE LIXAMENTO PARA PINTURA</t>
  </si>
  <si>
    <t>ED-50503</t>
  </si>
  <si>
    <t>ED-50456</t>
  </si>
  <si>
    <t>88484</t>
  </si>
  <si>
    <t>corrimao rampa</t>
  </si>
  <si>
    <t>PINTURA LÁTEX (PVA) EM TETO, DUAS (2) DEMÃOS, INCLUSIVE UMA (1) DEMÃO DE MASSA CORRIDA (PVA), EXCLUSIVE SELADOR ACRÍLICO</t>
  </si>
  <si>
    <t xml:space="preserve">PINTURA ACRÍLICA EM TETO, DUAS (2) DEMÃOS, INCLUSIVE UMA (1) DEMÃO DE MASSA CORRIDA (PVA), EXCLUSIVE SELADOR ACRÍLICO </t>
  </si>
  <si>
    <t>FUNDO SELADOR ACRÍLICO, APLICAÇÃO MANUAL EM TETO, UMA DEMÃO. AF_04/2023</t>
  </si>
  <si>
    <t xml:space="preserve">PINTURA ESMALTE EM ESQUADRIA DE MADEIRA, DUAS (2) DEMÃOS, INCLUSIVE UMA (1) DEMÃO DE FUNDO NIVELADOR, EXCLUSIVE MASSA A ÓLEO. </t>
  </si>
  <si>
    <t>10.1</t>
  </si>
  <si>
    <t>86937</t>
  </si>
  <si>
    <t>CUBA DE EMBUTIR OVAL EM LOUÇA BRANCA, 35 X 50CM OU EQUIVALENTE, INCLUSO VÁLVULA EM METAL CROMADO E SIFÃO FLEXÍVEL EM PVC - FORNECIMENTO E INSTALAÇÃO. AF_01/2020</t>
  </si>
  <si>
    <t>ED-48163</t>
  </si>
  <si>
    <t>BARRA DE APOIO EM AÇO INOX POLIDO RETA, DN 1.1/4" (31,75MM), PARA ACESSIBILIDADE (PMR/PCR), COMPRIMENTO 40CM, INSTALADO EM PORTA/PAREDE, INCLUSIVE FORNECIMENTO, INSTALAÇÃO E ACESSÓRIOS PARA FIXAÇÃO</t>
  </si>
  <si>
    <t>larg. Viga + 15cm c/ lado x 0,40 altura</t>
  </si>
  <si>
    <t>0,15 de cada borda do baldrame+vol concreto</t>
  </si>
  <si>
    <t>Volume estaca</t>
  </si>
  <si>
    <t>km</t>
  </si>
  <si>
    <t>139,96</t>
  </si>
  <si>
    <t>IMPERMEABILIZAÇÕES</t>
  </si>
  <si>
    <t>3.1.4</t>
  </si>
  <si>
    <t>3.1.5</t>
  </si>
  <si>
    <t>3.2.4</t>
  </si>
  <si>
    <t>3.2.5</t>
  </si>
  <si>
    <t>4.1.1</t>
  </si>
  <si>
    <t>4.1.2</t>
  </si>
  <si>
    <t>4.1.3</t>
  </si>
  <si>
    <t>4.2.1</t>
  </si>
  <si>
    <t>4.2.2</t>
  </si>
  <si>
    <t>4.2.3</t>
  </si>
  <si>
    <t>4.3.1</t>
  </si>
  <si>
    <t>4.3.2</t>
  </si>
  <si>
    <t>4.3.3</t>
  </si>
  <si>
    <t>4.3.4</t>
  </si>
  <si>
    <t>4.3.5</t>
  </si>
  <si>
    <t>6.4</t>
  </si>
  <si>
    <t>6.5</t>
  </si>
  <si>
    <t>ED-50316</t>
  </si>
  <si>
    <t>DUCHA HIGIÊNICA COM REGISTRO PARA CONTROLE DE FLUXO DE ÁGUA, DIÂMETRO 1/2" (20MM), INCLUSIVE FORNECIMENTO E INSTALAÇÃO</t>
  </si>
  <si>
    <t>AR CONDICIONADO</t>
  </si>
  <si>
    <t>GERENCIAMENTO DE OBRA/FISCALIZAÇÃO</t>
  </si>
  <si>
    <t>SUPERESTRUTURA</t>
  </si>
  <si>
    <t>17.</t>
  </si>
  <si>
    <t>18.</t>
  </si>
  <si>
    <t>FORRO E TETOS</t>
  </si>
  <si>
    <t>14.</t>
  </si>
  <si>
    <t>VIDROS</t>
  </si>
  <si>
    <t>FORRO EM CHAPA DE GESSO ACARTONADO, ESP. 12,5MM, COM FIXAÇÃO DO TIPO ARAMADO, EXCLUSIVE PERFIL TABICA, SANCA E MOLDURA, INCLUSIVE ACESSÓRIOS E FIXAÇÃO</t>
  </si>
  <si>
    <t>16.</t>
  </si>
  <si>
    <t>15.</t>
  </si>
  <si>
    <t xml:space="preserve">PAREDES </t>
  </si>
  <si>
    <t>13.</t>
  </si>
  <si>
    <t>12.</t>
  </si>
  <si>
    <t>11.</t>
  </si>
  <si>
    <t>10.</t>
  </si>
  <si>
    <t>7.</t>
  </si>
  <si>
    <t>7.4</t>
  </si>
  <si>
    <t>INFRAESTRUTURA</t>
  </si>
  <si>
    <t>REVESTIMENTOS INTERNO E EXTERNO</t>
  </si>
  <si>
    <t>6.</t>
  </si>
  <si>
    <t>5.</t>
  </si>
  <si>
    <t>4.</t>
  </si>
  <si>
    <t>3.</t>
  </si>
  <si>
    <t>2.</t>
  </si>
  <si>
    <t>1.</t>
  </si>
  <si>
    <t>8.</t>
  </si>
  <si>
    <t>Area+20cm</t>
  </si>
  <si>
    <t>ED-51132</t>
  </si>
  <si>
    <t>CARGA MECÂNICA DE MATERIAL DE QUALQUER NATUREZA SOBRE CAMINHÃO, EXCLUSIVE TRANSPORTE</t>
  </si>
  <si>
    <t>2.4</t>
  </si>
  <si>
    <t>ED-19637</t>
  </si>
  <si>
    <t>CIMBRAMENTO PARA LAJE PRÉ-MOLDADA COM ESCORAMENTO METÁLICO, TIPO "A", ALTURA DE (200 ATÉ 310)CM, INCLUSIVE DESCARGA, MONTAGEM, DESMONTAGEM E CARGA</t>
  </si>
  <si>
    <t>M2XMES</t>
  </si>
  <si>
    <t>CORTE, DOBRA E MONTAGEM DE AÇO CA-50/60, INCLUSIVE ESPAÇADOR</t>
  </si>
  <si>
    <t>4.3.6</t>
  </si>
  <si>
    <t>distancia Km</t>
  </si>
  <si>
    <t>92273</t>
  </si>
  <si>
    <t>FABRICAÇÃO DE ESCORAS DO TIPO PONTALETE, EM MADEIRA, PARA PÉ-DIREITO SIMPLES. AF_09/2020</t>
  </si>
  <si>
    <t>4.1.4</t>
  </si>
  <si>
    <t>6.6</t>
  </si>
  <si>
    <t>6.7</t>
  </si>
  <si>
    <t xml:space="preserve">Cobertura </t>
  </si>
  <si>
    <t>ED-5622</t>
  </si>
  <si>
    <t>PLACA 4"X2" PARA TRÊS (3) MÓDULOS, INCLUSIVE FORNECIMENTO E INSTALAÇÃO, EXCLUSIVE SUPORTE E MÓDULO</t>
  </si>
  <si>
    <t>91954</t>
  </si>
  <si>
    <t>INTERRUPTOR PARALELO (1 MÓDULO), 10A/250V, SEM SUPORTE E SEM PLACA - FORNECIMENTO E INSTALAÇÃO. AF_03/2023</t>
  </si>
  <si>
    <t>92032</t>
  </si>
  <si>
    <t>INTERRUPTOR PARALELO (2 MÓDULOS) COM 1 TOMADA DE EMBUTIR 2P+T 10 A, SEM SUPORTE E SEM PLACA - FORNECIMENTO E INSTALAÇÃO. AF_03/2023</t>
  </si>
  <si>
    <t>66,88</t>
  </si>
  <si>
    <t>687,49</t>
  </si>
  <si>
    <t>56,73</t>
  </si>
  <si>
    <t>14,77</t>
  </si>
  <si>
    <t>706,47</t>
  </si>
  <si>
    <t>93,38</t>
  </si>
  <si>
    <t>5.6</t>
  </si>
  <si>
    <t>106,43</t>
  </si>
  <si>
    <t>87,48</t>
  </si>
  <si>
    <t>ED-34460</t>
  </si>
  <si>
    <t>DISJUNTOR MONOPOLAR TIPO DIN, CORRENTE NOMINAL DE 10A, FORNECIMENTO E INSTALAÇÃO, INCLUSIVE TERMINAL ILHÓS</t>
  </si>
  <si>
    <t>ED-34461</t>
  </si>
  <si>
    <t>DISJUNTOR MONOPOLAR TIPO DIN, CORRENTE NOMINAL DE 16A, FORNECIMENTO E INSTALAÇÃO, INCLUSIVE TERMINAL ILHÓS</t>
  </si>
  <si>
    <t>14,46</t>
  </si>
  <si>
    <t>4,30</t>
  </si>
  <si>
    <t>10,56</t>
  </si>
  <si>
    <t>243,22</t>
  </si>
  <si>
    <t>47,10</t>
  </si>
  <si>
    <t>32,67</t>
  </si>
  <si>
    <t>9,18</t>
  </si>
  <si>
    <t>13,29</t>
  </si>
  <si>
    <t>55,88</t>
  </si>
  <si>
    <t>4,05</t>
  </si>
  <si>
    <t>4,91</t>
  </si>
  <si>
    <t>145,71</t>
  </si>
  <si>
    <t>125,05</t>
  </si>
  <si>
    <t>142,88</t>
  </si>
  <si>
    <t>48,34</t>
  </si>
  <si>
    <t>LOCAL: RUA 13 MAIO, CENTRO, OURO FINO - MG</t>
  </si>
  <si>
    <t>REGIÃO/MÊS DE REF.: SETOP SUL/JULHO 2025 S/ DESONERAÇÃO / SINAPI 09-2025 NÃO DESONERADO</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</si>
  <si>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</si>
  <si>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</si>
  <si>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comp.</t>
  </si>
  <si>
    <t>PROJ. ESTRUTURAL (PR 01-05)</t>
  </si>
  <si>
    <t>Bloco 2e h=45</t>
  </si>
  <si>
    <t>Bloco 2e h=50</t>
  </si>
  <si>
    <t>hospital</t>
  </si>
  <si>
    <t>PROJ. ESTRUTURAL (PR 02-05)</t>
  </si>
  <si>
    <t>Bloco 1e h=55</t>
  </si>
  <si>
    <t>PROJ. ESTRUTURAL (PR 01/02-05)</t>
  </si>
  <si>
    <t>PROJ. ESTRUTURAL (PR 05-05)</t>
  </si>
  <si>
    <t>Vigas cobertura</t>
  </si>
  <si>
    <t>PROJ. ESTRUTURAL (PR 03-05)</t>
  </si>
  <si>
    <t>PROJ. ESTRUTURAL (PR 04-05)</t>
  </si>
  <si>
    <t>ED-50260</t>
  </si>
  <si>
    <t>LAJE PRÉ-MOLDADA UNIDIRECIONAL COM ENCHIMENTO EM POLIESTIRENO EXPANDIDO (EPS), CAPEAMENTO DE 4CM, SOBRECARGA DE 300KG/M2, ALTURA TOTAL DE 11CM E VÃO LIVRE MÁXIMO DE 4M, INCLUSIVE CONCRETO ESTRUTURAL, USINADO BOMBEADO COM FCK DE 20MPA, EXCLUSIVE TELA ARMADA E CIMBRAMENTO</t>
  </si>
  <si>
    <t>ED-50847</t>
  </si>
  <si>
    <t>LAJE MACIÇA 15 CM DE CONCRETO 13,5 MPa COM ADITIVO IMPERMEABILIZANTE, ARMAÇÃO, FÔRMA , DESFORMA ( FUNDO CAIXA DÁGUA E COBERTURA)</t>
  </si>
  <si>
    <t>PRAZO DE EXECUÇÃO: 6 MESES</t>
  </si>
  <si>
    <t>inferior</t>
  </si>
  <si>
    <t>Laje cobertura</t>
  </si>
  <si>
    <t xml:space="preserve">OBS: Vide "Projeto Elétrico" </t>
  </si>
  <si>
    <t>guada corpo</t>
  </si>
  <si>
    <t>area nova+interior hospital</t>
  </si>
  <si>
    <t>platibanda</t>
  </si>
  <si>
    <t>caixao perdido</t>
  </si>
  <si>
    <t>Laje platibanda</t>
  </si>
  <si>
    <t>REVESTIMENTO CERÂMICO PARA PISO COM PLACAS TIPO PORCELANATO DE DIMENSÕES 60X60 CM APLICADA EM AMBIENTES DE ÁREA ENTRE 5 M² E 10 M². AF_02/2023_PE</t>
  </si>
  <si>
    <t>REVESTIMENTO CERÂMICO PARA PISO COM PLACAS TIPO PORCELANATO DE DIMENSÕES 60X60 CM APLICADA EM AMBIENTES DE ÁREA MENOR QUE 5 M². AF_02/2023_PE</t>
  </si>
  <si>
    <t>DML</t>
  </si>
  <si>
    <t>WC 1</t>
  </si>
  <si>
    <t>WC 2</t>
  </si>
  <si>
    <t>WC 3</t>
  </si>
  <si>
    <t>WC 4</t>
  </si>
  <si>
    <t>triagem</t>
  </si>
  <si>
    <t>recepção</t>
  </si>
  <si>
    <t>wc pcd 1</t>
  </si>
  <si>
    <t>wc pcd 2</t>
  </si>
  <si>
    <t>plataforma elevatoria</t>
  </si>
  <si>
    <t>sl laudos</t>
  </si>
  <si>
    <t>consultorio med. 3</t>
  </si>
  <si>
    <t>sl mobilização</t>
  </si>
  <si>
    <t>sl pequenas cirurgias</t>
  </si>
  <si>
    <t>consultorio med. 2</t>
  </si>
  <si>
    <t>consultorio med. 1</t>
  </si>
  <si>
    <t>sl medicação</t>
  </si>
  <si>
    <t>hall pcd</t>
  </si>
  <si>
    <t>corredor 3</t>
  </si>
  <si>
    <t>corredor 2</t>
  </si>
  <si>
    <t>corredor 1</t>
  </si>
  <si>
    <t>farmacia satelite</t>
  </si>
  <si>
    <t>observação 1</t>
  </si>
  <si>
    <t>observação 2</t>
  </si>
  <si>
    <t>prep. Medicamento</t>
  </si>
  <si>
    <t>sl espera 1</t>
  </si>
  <si>
    <t>sl espera 2</t>
  </si>
  <si>
    <t>calçada</t>
  </si>
  <si>
    <t>dml</t>
  </si>
  <si>
    <t>wc 1</t>
  </si>
  <si>
    <t>wc 2</t>
  </si>
  <si>
    <t>wc 3</t>
  </si>
  <si>
    <t>wc 4</t>
  </si>
  <si>
    <t>ED-28338</t>
  </si>
  <si>
    <t>DEMOLIÇÃO MANUAL DE CONSTRUÇÃO EM ALVENARIAS DE VEDAÇÃO, COM ESPESSURA MÁXIMA DE 15CM, INCLUSIVE REMOÇÃO COM REAPROVEITAMENTO DE ESQUADRIAS, AFASTAMENTO E EMPILHAMENTO, EXCLUSIVE TRANSPORTE E RETIRADA DO MATERIAL DEMOLIDO/REMOVIDO NÃO REAPROVEITÁVEL</t>
  </si>
  <si>
    <t>ED-48480</t>
  </si>
  <si>
    <t>DEMOLIÇÃO MANUAL DE PISO CERÂMICO OU LADRILHO HIDRÁULICO, INCLUSIVE AFASTAMENTO E EMPILHAMENTO, EXCLUSIVE DEMOLIÇÃO DE CONTRAPISO, TRANSPORTE E RETIRADA DO MATERIAL DEMOLIDO</t>
  </si>
  <si>
    <t>ED-48479</t>
  </si>
  <si>
    <t>DEMOLIÇÃO MANUAL DE PISO CIMENTADO OU CONTRAPISO DE ARGAMASSA, COM ESPESSURA MÁXIMA DE 10CM, INCLUSIVE AFASTAMENTO E EMPILHAMENTO, EXCLUSIVE TRANSPORTE E RETIRADA DO MATERIAL DEMOLIDO</t>
  </si>
  <si>
    <t>ED-48482</t>
  </si>
  <si>
    <t>DEMOLIÇÃO MANUAL DE PISO VINÍLICO, INCLUSIVE AFASTAMENTO E EMPILHAMENTO, EXCLUSIVE TRANSPORTE E RETIRADA DO MATERIAL DEMOLIDO</t>
  </si>
  <si>
    <t>ESCAVAÇÃO MANUAL DE VALA COM PROFUNDIDADE MENOR OU IGUAL A 1,5M, INCLUSIVE DESCARGA LATERAL</t>
  </si>
  <si>
    <t>ED-51120</t>
  </si>
  <si>
    <t>REATERRO MANUAL DE VALA, INCLUSIVE ESPALHAMENTO E COMPACTAÇÃO MANUAL COM SOQUETE</t>
  </si>
  <si>
    <t>Recepção</t>
  </si>
  <si>
    <t>Necroterio</t>
  </si>
  <si>
    <t>Bloco 1e h=50</t>
  </si>
  <si>
    <t>Recepção/Necroterio</t>
  </si>
  <si>
    <t>Bloco 3e h=80</t>
  </si>
  <si>
    <t>Bloco 3e h=55</t>
  </si>
  <si>
    <t>larg. Viga + 15cm c/ lado x 0,30 altura</t>
  </si>
  <si>
    <t>Laje maciça terreo</t>
  </si>
  <si>
    <t>Laje Terreo Rampa</t>
  </si>
  <si>
    <t>0,15 de cada borda dos baldrames</t>
  </si>
  <si>
    <t>Laje treliça cobertura</t>
  </si>
  <si>
    <t>Laje treliça Terreo</t>
  </si>
  <si>
    <t>Laje maciça cobertura</t>
  </si>
  <si>
    <t>Laje treliça terreo</t>
  </si>
  <si>
    <t>PROJ. ESTRUTURAL (PR 01-06)</t>
  </si>
  <si>
    <t>PROJ. ESTRUTURAL (PR 01/02-06)</t>
  </si>
  <si>
    <t>PROJ. ESTRUTURAL (PR 02-06)</t>
  </si>
  <si>
    <t>PROJ. ESTRUTURAL (PR 06-06)</t>
  </si>
  <si>
    <t>PROJ. ESTRUTURAL (PR 03-06)</t>
  </si>
  <si>
    <t>PROJ. ESTRUTURAL (PR 05-06)</t>
  </si>
  <si>
    <t>PROJ. ESTRUTURAL (PR 04-06)</t>
  </si>
  <si>
    <t>ED-48196</t>
  </si>
  <si>
    <t>ALVENARIA DE VEDAÇÃO COM BLOCO DE CONCRETO, ESP. 19CM, INCLUSIVE ARGAMASSA PARA ASSENTAMENTO</t>
  </si>
  <si>
    <t>5.3</t>
  </si>
  <si>
    <t>Interior hospital WC´s</t>
  </si>
  <si>
    <t>sl medico</t>
  </si>
  <si>
    <t>acima das portas</t>
  </si>
  <si>
    <t>wc sl medico</t>
  </si>
  <si>
    <t>autopsia</t>
  </si>
  <si>
    <t>bancada necroterio</t>
  </si>
  <si>
    <t>necroterio</t>
  </si>
  <si>
    <t>porta correr acesso rua</t>
  </si>
  <si>
    <t>janela reservatorio taça</t>
  </si>
  <si>
    <t>janela sl medico</t>
  </si>
  <si>
    <t>janela wc sl medico</t>
  </si>
  <si>
    <t>janela dml</t>
  </si>
  <si>
    <t>janela sl laudos</t>
  </si>
  <si>
    <t>janela corredor 3</t>
  </si>
  <si>
    <t>janelas</t>
  </si>
  <si>
    <t>janela recepção</t>
  </si>
  <si>
    <t>Porta  wc sl medico/dml</t>
  </si>
  <si>
    <t>Porta  sl medico</t>
  </si>
  <si>
    <t>J (1,40x1,00)</t>
  </si>
  <si>
    <t>J (1,30x1,00)</t>
  </si>
  <si>
    <t>J (1,90x1,00)</t>
  </si>
  <si>
    <t>J (1,65x1,00)</t>
  </si>
  <si>
    <t>sl laudo</t>
  </si>
  <si>
    <t>pcd m/f</t>
  </si>
  <si>
    <t>PORTA DE MADEIRA COMPLETA, DIMENSÃO (90X210)CM, TIPO DE ABRIR, UMA (1) FOLHA, ACABAMENTO NATURAL PARA PINTURA/VERNIZ, TIPO PRANCHETA/SARRAFEADA, INCLUSIVE MARCO, ALIZAR E FERRAGENS, EXCLUSIVE PINTURA/VERNIZ</t>
  </si>
  <si>
    <t>entrada necroterio</t>
  </si>
  <si>
    <t>ED-49602</t>
  </si>
  <si>
    <t>PORTA DE MADEIRA COMPLETA, DIMENSÃO (80X210)CM, TIPO DE ABRIR, UMA (1) FOLHA, ACABAMENTO NATURAL PARA PINTURA/VERNIZ, TIPO PRANCHETA/SARRAFEADA, INCLUSIVE MARCO, ALIZAR E FERRAGENS, EXCLUSIVE PINTURA/VERNIZ</t>
  </si>
  <si>
    <t>ED-49601</t>
  </si>
  <si>
    <t>PORTA DE MADEIRA COMPLETA, DIMENSÃO (70X210)CM, TIPO DE ABRIR, UMA (1) FOLHA, ACABAMENTO NATURAL PARA PINTURA/VERNIZ, TIPO PRANCHETA/SARRAFEADA, INCLUSIVE MARCO, ALIZAR E FERRAGENS, EXCLUSIVE PINTURA/VERNIZ</t>
  </si>
  <si>
    <t>Sl laudos</t>
  </si>
  <si>
    <t>INSTALAÇÃO DE TESOURA (INTEIRA OU MEIA), EM AÇO, PARA VÃOS MAIORES OU IGUAIS A 3,0 M E MENORES QUE 6,0 M, INCLUSO IÇAMENTO. AF_07/2019</t>
  </si>
  <si>
    <t>ED-48424</t>
  </si>
  <si>
    <t>COBERTURA EM TELHA DE FIBROCIMENTO, TIPO ONDULADA, ESP. 6MM, COM RECOBRIMENTO TRANSVERSAL E LONGITUDINAL, EXCLUSIVE CUMEEIRA E ENGRADAMENTO, INCLUSIVE ACESSÓRIOS DE FIXAÇÃO E IÇAMENTO MANUAL VERTICAL</t>
  </si>
  <si>
    <t>TRAMA DE AÇO COMPOSTA POR TERÇAS PARA TELHADOS DE ATÉ 2 ÁGUAS PARA TELHA ONDULADA DE FIBROCIMENTO, METÁLICA, PLÁSTICA OU TERMOACÚSTICA, INCLUSO TRANSPORTE VERTICAL. AF_07/2019</t>
  </si>
  <si>
    <t>REMOÇÃO DE TRAMA DE MADEIRA PARA COBERTURA, DE FORMA MANUAL, SEM REAPROVEITAMENTO. AF_09/2023</t>
  </si>
  <si>
    <t>PORTA DE MADEIRA COMPLETA, DIMENSÃO (90X210)CM, TIPO DE ABRIR, UMA (1) FOLHA, ACABAMENTO NATURAL PARA PINTURA/VERNIZ, TIPO PRANCHETA/SARRAFEADA, COM PROTEÇÃO INFERIOR EM REVESTIMENTO DE LAMINADO MELAMÍNICO NAS DUAS (2) FACES, INCLUSIVE MARCO, ALIZAR E FERRAGENS, EXCLUSIVE PINTURA/VERNIZ</t>
  </si>
  <si>
    <t>7.5</t>
  </si>
  <si>
    <t>7.6</t>
  </si>
  <si>
    <t>SETOP</t>
  </si>
  <si>
    <t>TELHAMENTO COM TELHA METÁLICA TERMOACÚSTICA E = 30 MM, COM ATÉ 2 ÁGUAS, INCLUSO IÇAMENTO. AF_07/2019</t>
  </si>
  <si>
    <t>quantidade</t>
  </si>
  <si>
    <t>ED-29484</t>
  </si>
  <si>
    <t>JANELA EM ALUMÍNIO DE CORRER COM 2 FOLHAS, LINHA 25/SUPREMA, ACABAMENTO ANODIZADO NATURAL, INCLUSIVE PERFIS, VIDRO 4MM E INSTALAÇÃO, EXCLUSIVE FERRAGENS PARA JANELA DE ALUMÍNIO DE CORRER</t>
  </si>
  <si>
    <t>ED-29453</t>
  </si>
  <si>
    <t>FERRAGENS PARA JANELA DE ALUMÍNIO PARA CONJUNTO DE DUAS (2) FOLHAS DE CORRER, INCLUSIVE ROLDANAS E ACESSÓRIOS, FORNECIMENTO E INSTALAÇÃO, EXCLUSIVE JANELA</t>
  </si>
  <si>
    <t>ED-13888</t>
  </si>
  <si>
    <t>PORTA METÁLICA, TIPO DE CORRER, COM UMA (1) FOLHA, EM CHAPA GALVANIZADA LAMBRIL, MODELO ONDULADA, INCLUSIVE FORNECIMENTO, ASSENTAMENTO, PERFIS PARA MARCO E PINTURA ANTICORROSIVA COM UMA (1) DEMÃO, EXCLUSIVE FECHADURA E ROLDANAS</t>
  </si>
  <si>
    <t>ED-13911</t>
  </si>
  <si>
    <t>FERRAGENS PARA PORTA METÁLICA, DE CORRER, COM UMA (1) FOLHA, BATENTE COM ALTURA MÁXIMA DE 2,3M, INCLUSIVE FECHADURA, MODELO BICO PAPAGAIO, ROLDANA INFERIOR E SUPERIOR, MODELO TIPO U, COM CAPACIDADE PARA 360KG, FORNECIMENTO, ACESSÓRIOS E INSTALAÇÃO, EXCLUSIVE PORTA METÁLICA</t>
  </si>
  <si>
    <t>6.8</t>
  </si>
  <si>
    <t>6.9</t>
  </si>
  <si>
    <t>ED-29482</t>
  </si>
  <si>
    <t>JANELA EM ALUMÍNIO MÁXIM-AR COM ALTURA DE 80CM, LINHA 25/SUPREMA, ACABAMENTO ANODIZADO NATURAL, INCLUSIVE PERFIS, VIDRO LISO 4MM E INSTALAÇÃO, EXCLUSIVE FERRAGENS PARA MÓDULO DE JANELA DE ALUMÍNIO MÁXIM-AR</t>
  </si>
  <si>
    <t>ED-29451</t>
  </si>
  <si>
    <t>FERRAGENS PARA MÓDULO DE JANELA DE ALUMÍNIO MÁXIM-AR, INCLUSIVE FECHO E BRAÇO, FORNECIMENTO E INSTALAÇÃO, EXCLUSIVE JANELA</t>
  </si>
  <si>
    <t>6.10</t>
  </si>
  <si>
    <t>6.11</t>
  </si>
  <si>
    <t>REMOÇÃO DE PORTAS, DE FORMA MANUAL, SEM REAPROVEITAMENTO. AF_09/2023</t>
  </si>
  <si>
    <t>VIDRO TEMPERADO INCOLOR PARA PORTA DE ABRIR, E = 10 MM (SEM FERRAGENS E SEM COLOCACAO)</t>
  </si>
  <si>
    <t>CONJ. DE FERRAGENS PARA PORTA DE VIDRO TEMPERADO, EM ZAMAC CROMADO, CONTEMPLANDO DOBRADICA INF., DOBRADICA SUP., PIVO PARA DOBRADICA INF., PIVO PARA DOBRADICA SUP., FECHADURA CENTRAL EM ZAMC. CROMADO, CONTRA FECHADURA DE PRESSAO</t>
  </si>
  <si>
    <t>ED-9199</t>
  </si>
  <si>
    <t>VIDRACEIRO COM ENCARGOS COMPLEMENTARES</t>
  </si>
  <si>
    <t>PORTA DE VIDRO TEMPERADO, 2 FOLHAS DE 70X210 CM, ESPESSURA DE 10MM, INCLUSIVE ACESSÓRIOS. AF_01/2021</t>
  </si>
  <si>
    <t>102183/1</t>
  </si>
  <si>
    <t>9.</t>
  </si>
  <si>
    <t>9.2</t>
  </si>
  <si>
    <t>9.2.1</t>
  </si>
  <si>
    <t>9.2.4</t>
  </si>
  <si>
    <t>9.2.5</t>
  </si>
  <si>
    <t>9.2.6</t>
  </si>
  <si>
    <t>9.2.7</t>
  </si>
  <si>
    <t>9.2.8</t>
  </si>
  <si>
    <t>9.2.9</t>
  </si>
  <si>
    <t>9.2.10</t>
  </si>
  <si>
    <t>9.2.11</t>
  </si>
  <si>
    <t>9.2.12</t>
  </si>
  <si>
    <t>9.2.13</t>
  </si>
  <si>
    <t>9.2.14</t>
  </si>
  <si>
    <t>9.2.15</t>
  </si>
  <si>
    <t>9.3</t>
  </si>
  <si>
    <t>9.3.1</t>
  </si>
  <si>
    <t>9.3.3</t>
  </si>
  <si>
    <t>9.3.4</t>
  </si>
  <si>
    <t>9.3.7</t>
  </si>
  <si>
    <t>9.3.8</t>
  </si>
  <si>
    <t>9.4</t>
  </si>
  <si>
    <t>9.4.1</t>
  </si>
  <si>
    <t>9.4.2</t>
  </si>
  <si>
    <t>9.5</t>
  </si>
  <si>
    <t>9.5.1</t>
  </si>
  <si>
    <t>9.5.2</t>
  </si>
  <si>
    <t>12.1</t>
  </si>
  <si>
    <t>14.2</t>
  </si>
  <si>
    <t>14.3</t>
  </si>
  <si>
    <t>14.4</t>
  </si>
  <si>
    <t>18.1</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</si>
  <si>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</si>
  <si>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</si>
  <si>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</si>
  <si>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</si>
  <si>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</si>
  <si>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</si>
  <si>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</si>
  <si>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</si>
  <si>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</si>
  <si>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</si>
  <si>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</si>
  <si>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</si>
  <si>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</si>
  <si>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</si>
  <si>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</si>
  <si>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</si>
  <si>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</si>
  <si>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</si>
  <si>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</si>
  <si>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</si>
  <si>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</si>
  <si>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</si>
  <si>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</si>
  <si>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</si>
  <si>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</si>
  <si>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</si>
  <si>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</si>
  <si>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INSUMO / SERVIÇO</t>
  </si>
  <si>
    <t>UN.</t>
  </si>
  <si>
    <t>ED-50373</t>
  </si>
  <si>
    <t>ELETRICISTA COM ENCARGOS COMPLEMENTARES</t>
  </si>
  <si>
    <t>ED-49188</t>
  </si>
  <si>
    <t>CAIXA DE LIGAÇÃO/PASSAGEM EM PVC RÍGIDO PARA ELETRODUTO, DIMENSÃO 4"X4", EMBUTIDA EM ALVENARIA, INCLUSIVE FIXAÇÃO</t>
  </si>
  <si>
    <t>BUCHA DE NYLON SEM ABA S6</t>
  </si>
  <si>
    <t>4375/1</t>
  </si>
  <si>
    <t>404/1</t>
  </si>
  <si>
    <t>ED-48995</t>
  </si>
  <si>
    <t>CABO UNIPOLAR DE COBRE FLEXÍVEL, CLASSE 5, ISOLAMENTO TIPO EPR/HEPR, NÃO HALOGENADO E ANTICHAMA, DIÂMETRO DA SEÇÃO DE 6MM2, TEMPERATURA DE TRABALHO 90°C, TENSÃO NOMINAL DE OPERAÇÃO 0,6/1KV</t>
  </si>
  <si>
    <t>ED-5618</t>
  </si>
  <si>
    <t>PLACA 4"X2" CEGA, INCLUSIVE FORNECIMENTO E INSTALAÇÃO, EXCLUSIVE SUPORTE</t>
  </si>
  <si>
    <t>INTERRUPTOR SIMPLES (1 MÓDULO) COM INTERRUPTOR PARALELO (1 MÓDULO), 10A/250V, INCLUINDO SUPORTE E PLACA - FORNECIMENTO E INSTALAÇÃO. AF_03/2023</t>
  </si>
  <si>
    <t>ED-34476</t>
  </si>
  <si>
    <t>DISJUNTOR BIPOLAR TIPO DIN, CORRENTE NOMINAL DE 25A, FORNECIMENTO E INSTALAÇÃO, INCLUSIVE TERMINAL ILHÓS</t>
  </si>
  <si>
    <t>ED-27084</t>
  </si>
  <si>
    <t>LUMINÁRIA COMERCIAL COM ALETAS DE EMBUTIR COMPLETA, PARA QUATRO (4) LÂMPADAS TUBULARES LED 4X18W-ØT8, TEMPERATURA DA COR 6500K, FORNECIMENTO E INSTALAÇÃO, INCLUSIVE BASE E LÂMPADA</t>
  </si>
  <si>
    <t>ED-14179</t>
  </si>
  <si>
    <t>QUADRO DE DISTRIBUIÇÃO DE EMBUTIR EM PVC, PARA 8 DISJUNTORES DIN, INCLUSIVE BARRAMENTOS NEUTRO/TERRA, EXCLUSIVE BARRAMENTO DE FASE</t>
  </si>
  <si>
    <t>ED-49956</t>
  </si>
  <si>
    <t>RALO SIFONADO PVC CILINDRÍCO 100 X 70 X 40 MM COM GRELHA REDONDA</t>
  </si>
  <si>
    <t>ED-48170</t>
  </si>
  <si>
    <t>BEBEDOURO DE COLUNA/PRESSÃO,TIPO ADULTO COM ACABAMENTO EM PINTURA ELETROSTÁTICA, NA COR BRANCA, PRESSÃO DA REDE MÍNIMA REFERENCIAL DE 6M.C.A, INCLUSIVE ACESSÓRIOS</t>
  </si>
  <si>
    <t>ED-16344</t>
  </si>
  <si>
    <t>CHUVEIRO ELÉTRICO BRANCO, TENSÃO 127V/220V, POTÊNCIA 4600W/5500W, INCLUSIVE BRAÇO/CANO</t>
  </si>
  <si>
    <t>ED-50297</t>
  </si>
  <si>
    <t>BACIA SANITÁRIA (VASO) DE LOUÇA COM CAIXA ACOPLADA, COR BRANCA, INCLUSIVE ACESSÓRIOS DE FIXAÇÃO/VEDAÇÃO, ENGATE FLEXÍVEL METÁLICO E REJUNTAMENTO, EXCLUSIVE ASSENTO</t>
  </si>
  <si>
    <t>ED-49972</t>
  </si>
  <si>
    <t>REGISTRO DE GAVETA, TIPO BRUTO, ROSCÁVEL 3/4" (PARA TUBO SOLDÁVEL OU PPR DN 25MM/CPVC DN 22MM), INCLUSIVE VOLANTE PARA ACIONAMENTO</t>
  </si>
  <si>
    <t>ED-49965</t>
  </si>
  <si>
    <t>REGISTRO DE PRESSÃO, TIPO BASE, ROSCÁVEL 3/4" (PARA TUBO SOLDÁVEL OU PPR DN 25MM/CPVC DN 22MM), INCLUSIVE ACABAMENTO (PADRÃO MÉDIO) E CANOPLA CROMADOS</t>
  </si>
  <si>
    <t>FORNECIMENTO E ASSENTAMENTO DE TUBO PVC RÍGIDO SOLDÁVEL, ÁGUA FRIA, DN 20 MM (1/2"), INCLUSIVE CONEXÕES</t>
  </si>
  <si>
    <t>ED-2552</t>
  </si>
  <si>
    <t>LAVATÓRIO DE CANTO DE LOUÇA BRANCA SEM COLUNA, TAMANHO PEQUENO, INCLUSIVE ACESSÓRIOS DE FIXAÇÃO COM PARAFUSO CASTELO, VÁLVULA DE ESCOAMENTO DE METAL COM ACABAMENTO CROMADO, SIFÃO DE METAL TIPO COPO COM ACABAMENTO CROMADO, E REJUNTAMENTO, EXCLUSIVE TORNEIRA E ENGATE FLEXÍVEL</t>
  </si>
  <si>
    <t>TANQUE DE LOUÇA BRANCA COM COLUNA, 30L OU EQUIVALENTE, INCLUSO SIFÃO FLEXÍVEL EM PVC, VÁLVULA METÁLICA E TORNEIRA DE METAL CROMADO PADRÃO MÉDIO - FORNECIMENTO E INSTALAÇÃO. AF_01/2020</t>
  </si>
  <si>
    <t>ED-48156</t>
  </si>
  <si>
    <t>ASSENTO PLÁSTICO PARA BACIA SANITÁRIA, NA COR BRANCA, PADRÃO POPULAR, INCLUSIVE ACESSÓRIOS PARA FIXAÇÃO</t>
  </si>
  <si>
    <t>9.2.2</t>
  </si>
  <si>
    <t>9.2.3</t>
  </si>
  <si>
    <t>9.2.16</t>
  </si>
  <si>
    <t>is masc</t>
  </si>
  <si>
    <t>repção</t>
  </si>
  <si>
    <t>11.1</t>
  </si>
  <si>
    <t>11.1.1</t>
  </si>
  <si>
    <t>11.1.2</t>
  </si>
  <si>
    <t>11.1.3</t>
  </si>
  <si>
    <t>11.1.4</t>
  </si>
  <si>
    <t>11.1.5</t>
  </si>
  <si>
    <t>11.1.6</t>
  </si>
  <si>
    <t>11.1.7</t>
  </si>
  <si>
    <t>11.1.8</t>
  </si>
  <si>
    <t>11.1.9</t>
  </si>
  <si>
    <t>11.2</t>
  </si>
  <si>
    <t>11.2.1</t>
  </si>
  <si>
    <t>11.2.2</t>
  </si>
  <si>
    <t>13.1.1</t>
  </si>
  <si>
    <t>13.1.2</t>
  </si>
  <si>
    <t>13.1.3</t>
  </si>
  <si>
    <t>13.1.4</t>
  </si>
  <si>
    <t>13.1.5</t>
  </si>
  <si>
    <t>13.2</t>
  </si>
  <si>
    <t>13.2.1</t>
  </si>
  <si>
    <t>13.2.2</t>
  </si>
  <si>
    <t>13.2.3</t>
  </si>
  <si>
    <t>13.3</t>
  </si>
  <si>
    <t>13.3.1</t>
  </si>
  <si>
    <t>13.3.2</t>
  </si>
  <si>
    <t>13.4</t>
  </si>
  <si>
    <t>13.4.1</t>
  </si>
  <si>
    <t>13.4.2</t>
  </si>
  <si>
    <t>14.5</t>
  </si>
  <si>
    <t>14.6</t>
  </si>
  <si>
    <t>14.7</t>
  </si>
  <si>
    <t>14.8</t>
  </si>
  <si>
    <t>14.9</t>
  </si>
  <si>
    <t>14.10</t>
  </si>
  <si>
    <t>16.1</t>
  </si>
  <si>
    <t>17.1</t>
  </si>
  <si>
    <t>17.2</t>
  </si>
  <si>
    <t>área</t>
  </si>
  <si>
    <t>platibanda laterais</t>
  </si>
  <si>
    <t>platibanda topo</t>
  </si>
  <si>
    <t>wc pcd</t>
  </si>
  <si>
    <t>wc´s  pcd</t>
  </si>
  <si>
    <t>wc sl medico / dml</t>
  </si>
  <si>
    <t>Porta wc pcd</t>
  </si>
  <si>
    <t>ED-51150</t>
  </si>
  <si>
    <t>ESPELHO CRISTAL, DIMENSÃO (60X90)CM, COM ESP. 4MM, EM ACABAMENTO LAPIDADO, INCLUSIVE FIXAÇÃO COM PARAFUSO TIPO FINESSON, FORNECIMENTO E INSTALAÇÃO</t>
  </si>
  <si>
    <t>Laje wc´s pnc</t>
  </si>
  <si>
    <t>acesso rua necroterio</t>
  </si>
  <si>
    <t>entrada recepção</t>
  </si>
  <si>
    <t>P 90x210</t>
  </si>
  <si>
    <t>P 80x210</t>
  </si>
  <si>
    <t>P 70x210</t>
  </si>
  <si>
    <t>P 140x210</t>
  </si>
  <si>
    <t>P 180x210</t>
  </si>
  <si>
    <t>hall 1</t>
  </si>
  <si>
    <t>WC 5</t>
  </si>
  <si>
    <t>sl medico / necroterio</t>
  </si>
  <si>
    <t>sl laudo / dml</t>
  </si>
  <si>
    <t>acesso rua</t>
  </si>
  <si>
    <t>acesso rampa</t>
  </si>
  <si>
    <t>preparação medicamento</t>
  </si>
  <si>
    <t>pcd mas</t>
  </si>
  <si>
    <t>pcd fem</t>
  </si>
  <si>
    <t>ws sl medico</t>
  </si>
  <si>
    <t>terreo/necroterio</t>
  </si>
  <si>
    <t>hall sl medico</t>
  </si>
  <si>
    <t>hall wc pcd</t>
  </si>
  <si>
    <t>P 100x210 preparação medicamento</t>
  </si>
  <si>
    <t xml:space="preserve">rampa </t>
  </si>
  <si>
    <t>Volume alvenaria</t>
  </si>
  <si>
    <t>espessura</t>
  </si>
  <si>
    <t>Volume piso</t>
  </si>
  <si>
    <t>Declaro para os devidos fins que, conforme legislação tributária municipal, a base de cálculo deste tipo de obra corresponde à 60%, com a respectiva alíquota de 5%.</t>
  </si>
  <si>
    <t>Declaro para os devidos fins que o regime de Contribuição Previdenciária sobre a Receita Bruta adotado para elaboração do orçamento foi SEM Desoneração, e que esta é a alternativa mais adequada para a Administração Pública.</t>
  </si>
  <si>
    <t xml:space="preserve">OS VALORES UNITÁRIOS FORAM OBTIDOS DA PLANILHA REFERENCIAL DE PREÇOS UNITÁRIOS PARA OBRAS DE EDIFICAÇÃO E INFRAESTRUTURA - REGIÃO SUL - SETOP MG - JULHO 2025 E TABELA SINAPI - SISTEMA NACIONAL DE PESQUISA DE CUSTOS E ÍNDICES DA CONSTRUÇÃO CIVIL - REF. MG - SET 2025 (APLICADO AOS VALORES REFERENCIAIS O BDI = 23,54%) </t>
  </si>
  <si>
    <t>Sl de espera 1</t>
  </si>
  <si>
    <t>Sl espera 2</t>
  </si>
  <si>
    <t>PROJ. ELETRICO</t>
  </si>
  <si>
    <t>2 dias p/ sem.* 4 sem. p/ mês * prazo obra</t>
  </si>
  <si>
    <t>5 dias p/ sem.* 4 sem. p/ mês * prazo obra</t>
  </si>
  <si>
    <t>18.2</t>
  </si>
  <si>
    <t>18.3</t>
  </si>
  <si>
    <t>18.4</t>
  </si>
  <si>
    <t>18.5</t>
  </si>
  <si>
    <t>18.6</t>
  </si>
  <si>
    <t>18.7</t>
  </si>
  <si>
    <t>18.8</t>
  </si>
  <si>
    <t>18.9</t>
  </si>
  <si>
    <t>18.10</t>
  </si>
  <si>
    <t>18.11</t>
  </si>
  <si>
    <t>18.12</t>
  </si>
  <si>
    <t>18.13</t>
  </si>
  <si>
    <t>18.14</t>
  </si>
  <si>
    <t>18.15</t>
  </si>
  <si>
    <t>18.16</t>
  </si>
  <si>
    <t>corredor 1A</t>
  </si>
  <si>
    <t>corredor 1 B</t>
  </si>
  <si>
    <t>novo</t>
  </si>
  <si>
    <t>recepcao/triagem</t>
  </si>
  <si>
    <t>triangem</t>
  </si>
  <si>
    <t>INSTALAÇÃO DE VIDRO IMPRESSO, E = 4 MM, EM ESQUADRIA DE ALUMÍNIO OU PVC, FIXADO COM BAGUETE. AF_01/2021_PS</t>
  </si>
  <si>
    <t>12.2</t>
  </si>
  <si>
    <t>observ. 2 / observ. 1</t>
  </si>
  <si>
    <t xml:space="preserve">prepa. Medicamento / observ. 2 </t>
  </si>
  <si>
    <t xml:space="preserve">prepar. Medicamento / observ. 2 </t>
  </si>
  <si>
    <r>
      <t xml:space="preserve">prepar. Medicamento / </t>
    </r>
    <r>
      <rPr>
        <sz val="10"/>
        <color rgb="FFFF0000"/>
        <rFont val="Arial"/>
        <family val="2"/>
      </rPr>
      <t>corredor 4</t>
    </r>
  </si>
  <si>
    <t>AR CONDICIONADO SPLIT ON/OFF, HI-WALL (PAREDE), 9000 BTUS/H, CICLO QUENTE/FRIO - FORNECIMENTO E INSTALAÇÃO. AF_11/2021_PE</t>
  </si>
  <si>
    <t>AR CONDICIONADO SPLIT ON/OFF, HI-WALL (PAREDE), 12000 BTUS/H, CICLO QUENTE/FRIO - FORNECIMENTO E INSTALAÇÃO. AF_11/2021_PE</t>
  </si>
  <si>
    <t>AR CONDICIONADO SPLIT ON/OFF, HI-WALL (PAREDE), 18000 BTUS/H, CICLO QUENTE/FRIO - FORNECIMENTO E INSTALAÇÃO. AF_11/2021_PE</t>
  </si>
  <si>
    <t>AR CONDICIONADO SPLIT ON/OFF, HI-WALL (PAREDE), 24000 BTUS/H, CICLO QUENTE/FRIO - FORNECIMENTO E INSTALAÇÃO. AF_11/2021_PE</t>
  </si>
  <si>
    <t>16.2</t>
  </si>
  <si>
    <t>16.3</t>
  </si>
  <si>
    <t>16.4</t>
  </si>
  <si>
    <t>TUBO EM COBRE FLEXÍVEL, DN 3/4", COM ISOLAMENTO, INSTALADO EM RAMAL DE ALIMENTAÇÃO DE AR-CONDICIONADO - FORNECIMENTO E INSTALAÇÃO. AF_07/2025</t>
  </si>
  <si>
    <t>TUBO, PVC, SOLDÁVEL, DE 20MM, INSTALADO EM DRENO DE AR CONDICIONADO - FORNECIMENTO E INSTALAÇÃO. AF_08/2022</t>
  </si>
  <si>
    <t>16.5</t>
  </si>
  <si>
    <t>16.6</t>
  </si>
  <si>
    <t>ED-5627</t>
  </si>
  <si>
    <t>MÓDULO TOMADA PADRÃO, TRÊS (3) POLOS, CORRENTE 20A, TENSÃO 250V, (2P+T/20A-250V), INCLUSIVE FORNECIMENTO E INSTALAÇÃO, EXCLUSIVE PLACA E SUPORTE</t>
  </si>
  <si>
    <t>8.30</t>
  </si>
  <si>
    <t>ED-34477</t>
  </si>
  <si>
    <t>DISJUNTOR BIPOLAR TIPO DIN, CORRENTE NOMINAL DE 32A, FORNECIMENTO E INSTALAÇÃO, INCLUSIVE TERMINAL ILHÓS</t>
  </si>
  <si>
    <t>ED-34478</t>
  </si>
  <si>
    <t>DISJUNTOR BIPOLAR TIPO DIN, CORRENTE NOMINAL DE 40A, FORNECIMENTO E INSTALAÇÃO, INCLUSIVE TERMINAL ILHÓS</t>
  </si>
  <si>
    <t>9.3.2</t>
  </si>
  <si>
    <t>9.3.5</t>
  </si>
  <si>
    <t>9.3.6</t>
  </si>
  <si>
    <t>VÁLVULA EM PLÁSTICO 1" PARA PIA, TANQUE OU LAVATÓRIO, COM OU SEM LADRÃO - FORNECIMENTO E INSTALAÇÃO. AF_01/2020</t>
  </si>
  <si>
    <t>8.31</t>
  </si>
  <si>
    <t>8.32</t>
  </si>
  <si>
    <t>item 12.1</t>
  </si>
  <si>
    <t>Portão</t>
  </si>
  <si>
    <t>ED-49813</t>
  </si>
  <si>
    <t>LASTRO DE BRITA COM PEDRA BRITADA NÚMERO 2 E 3, INCLUSIVE ADENSAMENTO E APILOAMENTO MANUAL</t>
  </si>
  <si>
    <t>OBRA: PROJETO DE REFORMA E AMPLIAÇÃO DO NOVO PRONTO ATENDIMENTO DO MUNICÍPIO DE OURO FINO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</si>
</sst>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R$&quot;\ #,##0.00;\-&quot;R$&quot;\ #,##0.00"/>
    <numFmt numFmtId="44" formatCode="_-&quot;R$&quot;\ * #,##0.00_-;\-&quot;R$&quot;\ * #,##0.00_-;_-&quot;R$&quot;\ * &quot;-&quot;??_-;_-@_-"/>
    <numFmt numFmtId="43" formatCode="_-* #,##0.00_-;\-* #,##0.00_-;_-* &quot;-&quot;??_-;_-@_-"/>
    <numFmt numFmtId="164" formatCode="&quot;R$&quot;\ #,##0.00"/>
    <numFmt numFmtId="165" formatCode="&quot;R$ &quot;#,##0.00"/>
    <numFmt numFmtId="166" formatCode="0.0000"/>
    <numFmt numFmtId="167" formatCode="0.00_ ;\-0.00\ "/>
    <numFmt numFmtId="168" formatCode="_-* #,##0.00000_-;\-* #,##0.00000_-;_-* &quot;-&quot;??_-;_-@_-"/>
    <numFmt numFmtId="169" formatCode="_-[$R$-416]\ * #,##0.00_-;\-[$R$-416]\ * #,##0.00_-;_-[$R$-416]\ * &quot;-&quot;??_-;_-@_-"/>
    <numFmt numFmtId="170" formatCode="0.0%"/>
    <numFmt numFmtId="171" formatCode="#,##0.00&quot; &quot;;&quot;(&quot;#,##0.00&quot;)&quot;;&quot;-&quot;#&quot; &quot;;@&quot; &quot;"/>
    <numFmt numFmtId="172" formatCode="#0.00"/>
  </numFmts>
  <fonts count="66">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0"/>
      <name val="Arial"/>
      <family val="2"/>
    </font>
    <font>
      <sz val="8"/>
      <name val="Arial"/>
      <family val="2"/>
    </font>
    <font>
      <b/>
      <sz val="9"/>
      <name val="Arial"/>
      <family val="2"/>
    </font>
    <font>
      <sz val="10"/>
      <name val="Arial"/>
      <family val="2"/>
    </font>
    <font>
      <sz val="28"/>
      <name val="Arial"/>
      <family val="2"/>
    </font>
    <font>
      <b/>
      <sz val="11"/>
      <name val="Arial"/>
      <family val="2"/>
    </font>
    <font>
      <sz val="11"/>
      <color theme="1"/>
      <name val="Arial"/>
      <family val="2"/>
    </font>
    <font>
      <b/>
      <sz val="12"/>
      <name val="Arial"/>
      <family val="2"/>
    </font>
    <font>
      <sz val="11"/>
      <name val="Arial"/>
      <family val="2"/>
    </font>
    <font>
      <b/>
      <sz val="11"/>
      <color theme="1"/>
      <name val="Arial"/>
      <family val="2"/>
    </font>
    <font>
      <b/>
      <sz val="14"/>
      <color theme="1"/>
      <name val="Arial"/>
      <family val="2"/>
    </font>
    <font>
      <b/>
      <sz val="10"/>
      <color theme="1"/>
      <name val="Arial"/>
      <family val="2"/>
    </font>
    <font>
      <sz val="10"/>
      <color theme="1"/>
      <name val="Arial"/>
      <family val="2"/>
    </font>
    <font>
      <i/>
      <sz val="10"/>
      <name val="Arial"/>
      <family val="2"/>
    </font>
    <font>
      <b/>
      <sz val="28"/>
      <name val="Arial"/>
      <family val="2"/>
    </font>
    <font>
      <sz val="9"/>
      <color theme="1"/>
      <name val="Arial"/>
      <family val="2"/>
    </font>
    <font>
      <b/>
      <sz val="9"/>
      <color theme="1"/>
      <name val="Arial"/>
      <family val="2"/>
    </font>
    <font>
      <sz val="8"/>
      <name val="Arial"/>
      <family val="2"/>
    </font>
    <font>
      <b/>
      <sz val="15"/>
      <name val="Arial"/>
      <family val="2"/>
    </font>
    <font>
      <sz val="15"/>
      <name val="Arial"/>
      <family val="2"/>
    </font>
    <font>
      <sz val="12"/>
      <name val="Arial"/>
      <family val="2"/>
    </font>
    <font>
      <sz val="9"/>
      <name val="Arial"/>
      <family val="2"/>
    </font>
    <font>
      <b/>
      <sz val="18"/>
      <name val="Arial"/>
      <family val="2"/>
    </font>
    <font>
      <b/>
      <sz val="17"/>
      <name val="Arial"/>
      <family val="2"/>
    </font>
    <font>
      <sz val="17"/>
      <name val="Arial"/>
      <family val="2"/>
    </font>
    <font>
      <b/>
      <sz val="10"/>
      <color theme="0"/>
      <name val="Arial"/>
      <family val="2"/>
    </font>
    <font>
      <sz val="10"/>
      <color theme="0"/>
      <name val="Arial"/>
      <family val="2"/>
    </font>
    <font>
      <sz val="10"/>
      <color rgb="FF000000"/>
      <name val="Arial"/>
      <family val="2"/>
    </font>
    <font>
      <b/>
      <sz val="10"/>
      <color rgb="FF000000"/>
      <name val="Arial"/>
      <family val="2"/>
    </font>
    <font>
      <b/>
      <sz val="8"/>
      <name val="Arial"/>
      <family val="2"/>
    </font>
    <font>
      <sz val="9"/>
      <color theme="1"/>
      <name val="Calibri"/>
      <family val="2"/>
      <scheme val="minor"/>
    </font>
    <font>
      <sz val="10"/>
      <color theme="1"/>
      <name val="Calibri"/>
      <family val="2"/>
      <scheme val="minor"/>
    </font>
    <font>
      <sz val="9"/>
      <name val="Calibri"/>
      <family val="2"/>
      <scheme val="minor"/>
    </font>
    <font>
      <sz val="10"/>
      <name val="Calibri"/>
      <family val="2"/>
      <scheme val="minor"/>
    </font>
    <font>
      <b/>
      <sz val="10"/>
      <color theme="1"/>
      <name val="Calibri"/>
      <family val="2"/>
      <scheme val="minor"/>
    </font>
    <font>
      <b/>
      <sz val="9"/>
      <color theme="1"/>
      <name val="Calibri"/>
      <family val="2"/>
      <scheme val="minor"/>
    </font>
    <font>
      <u/>
      <sz val="10"/>
      <name val="Arial"/>
      <family val="2"/>
    </font>
    <font>
      <i/>
      <sz val="10"/>
      <name val="Calibri"/>
      <family val="2"/>
    </font>
    <font>
      <i/>
      <u/>
      <sz val="10"/>
      <name val="Calibri"/>
      <family val="2"/>
    </font>
    <font>
      <sz val="10"/>
      <color rgb="FF000000"/>
      <name val="Arial11"/>
    </font>
    <font>
      <sz val="10"/>
      <color rgb="FFFF0000"/>
      <name val="Arial"/>
      <family val="2"/>
    </font>
    <font>
      <b/>
      <sz val="8"/>
      <color rgb="FF000000"/>
      <name val="Arial"/>
      <family val="2"/>
    </font>
    <font>
      <sz val="9"/>
      <color rgb="FF010000"/>
      <name val="Arial"/>
      <family val="2"/>
    </font>
    <font>
      <sz val="10"/>
      <color theme="3" tint="0.39997558519241921"/>
      <name val="Arial"/>
      <family val="2"/>
    </font>
    <font>
      <sz val="2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indexed="64"/>
      </patternFill>
    </fill>
    <fill>
      <patternFill patternType="solid">
        <fgColor rgb="FFFFCC66"/>
        <bgColor indexed="64"/>
      </patternFill>
    </fill>
    <fill>
      <patternFill patternType="solid">
        <fgColor rgb="FFFFFF00"/>
        <bgColor indexed="64"/>
      </patternFill>
    </fill>
    <fill>
      <patternFill patternType="solid">
        <fgColor indexed="43"/>
        <bgColor indexed="26"/>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right/>
      <top style="thin">
        <color rgb="FF010000"/>
      </top>
      <bottom style="thin">
        <color rgb="FF010000"/>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0" fontId="12" fillId="22" borderId="0" applyNumberFormat="0" applyBorder="0" applyAlignment="0" applyProtection="0"/>
    <xf numFmtId="0" fontId="3" fillId="23" borderId="4" applyNumberFormat="0" applyFont="0" applyAlignment="0" applyProtection="0"/>
    <xf numFmtId="9" fontId="3" fillId="0" borderId="0" applyFont="0" applyFill="0" applyBorder="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0" fontId="20" fillId="0" borderId="9" applyNumberFormat="0" applyFill="0" applyAlignment="0" applyProtection="0"/>
    <xf numFmtId="43" fontId="2"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0" fontId="1" fillId="0" borderId="0"/>
    <xf numFmtId="167" fontId="3" fillId="0" borderId="0" applyFont="0" applyFill="0" applyBorder="0" applyAlignment="0" applyProtection="0"/>
    <xf numFmtId="0" fontId="42" fillId="0" borderId="0"/>
    <xf numFmtId="171" fontId="60" fillId="0" borderId="0" applyBorder="0" applyProtection="0"/>
  </cellStyleXfs>
  <cellXfs count="509">
    <xf numFmtId="0" fontId="0" fillId="0" borderId="0" xfId="0"/>
    <xf numFmtId="0" fontId="27" fillId="0" borderId="0" xfId="0" applyFont="1"/>
    <xf numFmtId="0" fontId="27" fillId="0" borderId="0" xfId="0" applyFont="1" applyAlignment="1">
      <alignment wrapText="1"/>
    </xf>
    <xf numFmtId="0" fontId="21" fillId="0" borderId="13" xfId="0" applyFont="1" applyBorder="1"/>
    <xf numFmtId="10" fontId="21" fillId="0" borderId="10" xfId="33" applyNumberFormat="1" applyFont="1" applyFill="1" applyBorder="1" applyAlignment="1">
      <alignment horizontal="center" vertical="center"/>
    </xf>
    <xf numFmtId="0" fontId="3" fillId="0" borderId="21" xfId="0" applyFont="1" applyBorder="1" applyAlignment="1">
      <alignment horizontal="center" vertical="center"/>
    </xf>
    <xf numFmtId="0" fontId="29" fillId="0" borderId="0" xfId="0" applyFont="1"/>
    <xf numFmtId="0" fontId="27" fillId="25" borderId="10" xfId="0" applyFont="1" applyFill="1" applyBorder="1"/>
    <xf numFmtId="0" fontId="21" fillId="0" borderId="10" xfId="0" applyFont="1" applyBorder="1" applyAlignment="1">
      <alignment horizontal="center" vertical="center"/>
    </xf>
    <xf numFmtId="0" fontId="21" fillId="0" borderId="10" xfId="0" applyFont="1" applyBorder="1" applyAlignment="1">
      <alignment horizontal="left" vertical="center"/>
    </xf>
    <xf numFmtId="0" fontId="3" fillId="0" borderId="0" xfId="0" applyFont="1"/>
    <xf numFmtId="0" fontId="3" fillId="0" borderId="21" xfId="0" applyFont="1" applyBorder="1"/>
    <xf numFmtId="0" fontId="3" fillId="0" borderId="22" xfId="0" applyFont="1" applyBorder="1"/>
    <xf numFmtId="2" fontId="3" fillId="25" borderId="22" xfId="0" applyNumberFormat="1" applyFont="1" applyFill="1" applyBorder="1" applyAlignment="1">
      <alignment horizontal="center"/>
    </xf>
    <xf numFmtId="2" fontId="3" fillId="0" borderId="22" xfId="0" applyNumberFormat="1" applyFont="1" applyBorder="1" applyAlignment="1">
      <alignment horizontal="center"/>
    </xf>
    <xf numFmtId="43" fontId="27" fillId="0" borderId="0" xfId="0" applyNumberFormat="1" applyFont="1"/>
    <xf numFmtId="0" fontId="30" fillId="25" borderId="21" xfId="0" applyFont="1" applyFill="1" applyBorder="1" applyAlignment="1">
      <alignment horizontal="center" vertical="center"/>
    </xf>
    <xf numFmtId="0" fontId="3" fillId="0" borderId="14" xfId="0" applyFont="1" applyBorder="1"/>
    <xf numFmtId="0" fontId="21" fillId="25" borderId="10" xfId="0" applyFont="1" applyFill="1" applyBorder="1" applyAlignment="1">
      <alignment horizontal="center" vertical="center"/>
    </xf>
    <xf numFmtId="0" fontId="21" fillId="25" borderId="10" xfId="0" applyFont="1" applyFill="1" applyBorder="1" applyAlignment="1">
      <alignment horizontal="center" vertical="center" wrapText="1"/>
    </xf>
    <xf numFmtId="0" fontId="32" fillId="25" borderId="10" xfId="0" applyFont="1" applyFill="1" applyBorder="1" applyAlignment="1">
      <alignment horizontal="center" vertical="center"/>
    </xf>
    <xf numFmtId="44" fontId="23" fillId="25" borderId="10" xfId="45" applyFont="1" applyFill="1" applyBorder="1" applyAlignment="1">
      <alignment horizontal="right" wrapText="1"/>
    </xf>
    <xf numFmtId="43" fontId="33" fillId="0" borderId="10" xfId="44" applyFont="1" applyFill="1" applyBorder="1" applyAlignment="1">
      <alignment horizontal="center" vertical="center"/>
    </xf>
    <xf numFmtId="0" fontId="33" fillId="0" borderId="10" xfId="0" applyFont="1" applyBorder="1" applyAlignment="1">
      <alignment horizontal="center" vertical="center"/>
    </xf>
    <xf numFmtId="0" fontId="32" fillId="25" borderId="17" xfId="0" applyFont="1" applyFill="1" applyBorder="1" applyAlignment="1">
      <alignment horizontal="right" vertical="center"/>
    </xf>
    <xf numFmtId="0" fontId="32" fillId="25" borderId="16" xfId="0" applyFont="1" applyFill="1" applyBorder="1" applyAlignment="1">
      <alignment vertical="center"/>
    </xf>
    <xf numFmtId="0" fontId="32" fillId="25" borderId="10" xfId="0" applyFont="1" applyFill="1" applyBorder="1" applyAlignment="1">
      <alignment vertical="center"/>
    </xf>
    <xf numFmtId="0" fontId="32" fillId="0" borderId="10" xfId="0" applyFont="1" applyBorder="1" applyAlignment="1">
      <alignment horizontal="center" vertical="center"/>
    </xf>
    <xf numFmtId="0" fontId="32" fillId="0" borderId="10" xfId="0" applyFont="1" applyBorder="1" applyAlignment="1">
      <alignment vertical="center"/>
    </xf>
    <xf numFmtId="0" fontId="33" fillId="0" borderId="10" xfId="0" applyFont="1" applyBorder="1" applyAlignment="1">
      <alignment vertical="center"/>
    </xf>
    <xf numFmtId="43" fontId="33" fillId="0" borderId="10" xfId="44" applyFont="1" applyFill="1" applyBorder="1" applyAlignment="1">
      <alignment vertical="center"/>
    </xf>
    <xf numFmtId="0" fontId="21" fillId="25" borderId="10" xfId="0" applyFont="1" applyFill="1" applyBorder="1" applyAlignment="1">
      <alignment vertical="center"/>
    </xf>
    <xf numFmtId="43" fontId="3" fillId="0" borderId="10" xfId="44" applyFont="1" applyFill="1" applyBorder="1" applyAlignment="1">
      <alignment horizontal="center" vertical="center"/>
    </xf>
    <xf numFmtId="43" fontId="32" fillId="0" borderId="10" xfId="44" applyFont="1" applyFill="1" applyBorder="1" applyAlignment="1">
      <alignment vertical="center"/>
    </xf>
    <xf numFmtId="43" fontId="28" fillId="25" borderId="10" xfId="44" applyFont="1" applyFill="1" applyBorder="1" applyAlignment="1">
      <alignment horizontal="center" vertical="center"/>
    </xf>
    <xf numFmtId="0" fontId="3" fillId="24" borderId="0" xfId="0" applyFont="1" applyFill="1"/>
    <xf numFmtId="0" fontId="27" fillId="0" borderId="0" xfId="46" applyFont="1"/>
    <xf numFmtId="0" fontId="3" fillId="25" borderId="22" xfId="0" applyFont="1" applyFill="1" applyBorder="1"/>
    <xf numFmtId="10" fontId="36" fillId="25" borderId="21" xfId="0" applyNumberFormat="1" applyFont="1" applyFill="1" applyBorder="1" applyAlignment="1">
      <alignment horizontal="center" vertical="center"/>
    </xf>
    <xf numFmtId="0" fontId="36" fillId="0" borderId="0" xfId="0" applyFont="1" applyAlignment="1">
      <alignment horizontal="center"/>
    </xf>
    <xf numFmtId="0" fontId="36" fillId="25" borderId="21" xfId="0" applyFont="1" applyFill="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left"/>
    </xf>
    <xf numFmtId="0" fontId="27" fillId="0" borderId="21" xfId="46" applyFont="1" applyBorder="1"/>
    <xf numFmtId="0" fontId="27" fillId="0" borderId="22" xfId="46" applyFont="1" applyBorder="1"/>
    <xf numFmtId="0" fontId="37" fillId="25" borderId="21" xfId="0" applyFont="1" applyFill="1" applyBorder="1" applyAlignment="1">
      <alignment horizontal="center" vertical="center"/>
    </xf>
    <xf numFmtId="2" fontId="21" fillId="25" borderId="22" xfId="0" applyNumberFormat="1" applyFont="1" applyFill="1" applyBorder="1" applyAlignment="1">
      <alignment horizontal="center"/>
    </xf>
    <xf numFmtId="43" fontId="36" fillId="25" borderId="22" xfId="0" applyNumberFormat="1" applyFont="1" applyFill="1" applyBorder="1" applyAlignment="1">
      <alignment horizontal="center" vertical="center" wrapText="1"/>
    </xf>
    <xf numFmtId="0" fontId="39" fillId="0" borderId="0" xfId="0" applyFont="1" applyAlignment="1">
      <alignment vertical="center"/>
    </xf>
    <xf numFmtId="0" fontId="40" fillId="0" borderId="0" xfId="0" applyFont="1"/>
    <xf numFmtId="164" fontId="39" fillId="0" borderId="0" xfId="33" applyNumberFormat="1" applyFont="1" applyFill="1" applyBorder="1" applyAlignment="1">
      <alignment vertical="center"/>
    </xf>
    <xf numFmtId="4" fontId="40" fillId="0" borderId="0" xfId="0" applyNumberFormat="1" applyFont="1"/>
    <xf numFmtId="43" fontId="33" fillId="0" borderId="10" xfId="44" applyFont="1" applyFill="1" applyBorder="1" applyAlignment="1">
      <alignment horizontal="right" vertical="center"/>
    </xf>
    <xf numFmtId="0" fontId="21" fillId="25" borderId="21" xfId="0" applyFont="1" applyFill="1" applyBorder="1" applyAlignment="1">
      <alignment horizontal="center" vertical="center"/>
    </xf>
    <xf numFmtId="0" fontId="41" fillId="0" borderId="0" xfId="0" applyFont="1" applyAlignment="1">
      <alignment vertical="center"/>
    </xf>
    <xf numFmtId="0" fontId="21"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0" fillId="0" borderId="0" xfId="0" applyFont="1" applyAlignment="1">
      <alignment vertical="center"/>
    </xf>
    <xf numFmtId="0" fontId="21" fillId="25" borderId="17" xfId="0" applyFont="1" applyFill="1" applyBorder="1" applyAlignment="1">
      <alignment horizontal="right" vertical="center"/>
    </xf>
    <xf numFmtId="0" fontId="21" fillId="25" borderId="16" xfId="0" applyFont="1" applyFill="1" applyBorder="1" applyAlignment="1">
      <alignment vertical="center"/>
    </xf>
    <xf numFmtId="0" fontId="29" fillId="25" borderId="10" xfId="0" applyFont="1" applyFill="1" applyBorder="1"/>
    <xf numFmtId="0" fontId="43" fillId="25" borderId="10" xfId="0" applyFont="1" applyFill="1" applyBorder="1" applyAlignment="1">
      <alignment horizontal="center" wrapText="1"/>
    </xf>
    <xf numFmtId="0" fontId="45" fillId="0" borderId="10" xfId="0" applyFont="1" applyBorder="1" applyAlignment="1">
      <alignment horizontal="center" vertical="top" wrapText="1"/>
    </xf>
    <xf numFmtId="10" fontId="45" fillId="0" borderId="10" xfId="0" applyNumberFormat="1" applyFont="1" applyBorder="1" applyAlignment="1">
      <alignment horizontal="center" vertical="top" wrapText="1"/>
    </xf>
    <xf numFmtId="10" fontId="44" fillId="25" borderId="10" xfId="0" applyNumberFormat="1" applyFont="1" applyFill="1" applyBorder="1" applyAlignment="1">
      <alignment horizontal="center" vertical="top" wrapText="1"/>
    </xf>
    <xf numFmtId="4" fontId="45" fillId="0" borderId="10" xfId="0" applyNumberFormat="1" applyFont="1" applyBorder="1" applyAlignment="1">
      <alignment horizontal="center" vertical="top" wrapText="1"/>
    </xf>
    <xf numFmtId="165" fontId="45" fillId="0" borderId="10" xfId="0" applyNumberFormat="1" applyFont="1" applyBorder="1" applyAlignment="1">
      <alignment horizontal="center" vertical="top" wrapText="1"/>
    </xf>
    <xf numFmtId="165" fontId="44" fillId="25" borderId="10" xfId="0" applyNumberFormat="1" applyFont="1" applyFill="1" applyBorder="1" applyAlignment="1">
      <alignment horizontal="center" vertical="top" wrapText="1"/>
    </xf>
    <xf numFmtId="0" fontId="45" fillId="25" borderId="10" xfId="0" applyFont="1" applyFill="1" applyBorder="1" applyAlignment="1">
      <alignment horizontal="center" vertical="top" wrapText="1"/>
    </xf>
    <xf numFmtId="10" fontId="45" fillId="25" borderId="10" xfId="0" applyNumberFormat="1" applyFont="1" applyFill="1" applyBorder="1" applyAlignment="1">
      <alignment horizontal="center" vertical="top" wrapText="1"/>
    </xf>
    <xf numFmtId="4" fontId="45" fillId="25" borderId="10" xfId="0" applyNumberFormat="1" applyFont="1" applyFill="1" applyBorder="1" applyAlignment="1">
      <alignment horizontal="center" vertical="top" wrapText="1"/>
    </xf>
    <xf numFmtId="165" fontId="45" fillId="25" borderId="10" xfId="0" applyNumberFormat="1" applyFont="1" applyFill="1" applyBorder="1" applyAlignment="1">
      <alignment horizontal="center" vertical="top" wrapText="1"/>
    </xf>
    <xf numFmtId="0" fontId="44" fillId="25" borderId="10" xfId="0" applyFont="1" applyFill="1" applyBorder="1" applyAlignment="1">
      <alignment horizontal="center" vertical="top" wrapText="1"/>
    </xf>
    <xf numFmtId="0" fontId="44" fillId="25" borderId="11" xfId="0" applyFont="1" applyFill="1" applyBorder="1" applyAlignment="1">
      <alignment horizontal="center" vertical="top" wrapText="1"/>
    </xf>
    <xf numFmtId="4" fontId="44" fillId="25" borderId="11" xfId="0" applyNumberFormat="1" applyFont="1" applyFill="1" applyBorder="1" applyAlignment="1">
      <alignment horizontal="center" vertical="top" wrapText="1"/>
    </xf>
    <xf numFmtId="0" fontId="46" fillId="0" borderId="10" xfId="0" applyFont="1" applyBorder="1" applyAlignment="1">
      <alignment horizontal="center" vertical="center"/>
    </xf>
    <xf numFmtId="10" fontId="46" fillId="0" borderId="10" xfId="33" applyNumberFormat="1" applyFont="1" applyFill="1" applyBorder="1" applyAlignment="1">
      <alignment horizontal="center" vertical="center"/>
    </xf>
    <xf numFmtId="0" fontId="22" fillId="0" borderId="10" xfId="0" applyFont="1" applyBorder="1" applyAlignment="1">
      <alignment horizontal="center" vertical="center"/>
    </xf>
    <xf numFmtId="0" fontId="47" fillId="0" borderId="0" xfId="0" applyFont="1"/>
    <xf numFmtId="2" fontId="47" fillId="0" borderId="22" xfId="0" applyNumberFormat="1" applyFont="1" applyBorder="1" applyAlignment="1">
      <alignment horizontal="center"/>
    </xf>
    <xf numFmtId="2" fontId="3" fillId="0" borderId="0" xfId="0" applyNumberFormat="1" applyFont="1"/>
    <xf numFmtId="0" fontId="21" fillId="0" borderId="10" xfId="0" applyFont="1" applyBorder="1" applyAlignment="1">
      <alignment vertical="center"/>
    </xf>
    <xf numFmtId="0" fontId="31" fillId="25" borderId="0" xfId="0" applyFont="1" applyFill="1"/>
    <xf numFmtId="0" fontId="30" fillId="25" borderId="0" xfId="0" applyFont="1" applyFill="1"/>
    <xf numFmtId="0" fontId="3" fillId="25" borderId="0" xfId="0" applyFont="1" applyFill="1"/>
    <xf numFmtId="0" fontId="36" fillId="25" borderId="0" xfId="0" applyFont="1" applyFill="1"/>
    <xf numFmtId="0" fontId="33" fillId="0" borderId="0" xfId="0" applyFont="1"/>
    <xf numFmtId="0" fontId="3" fillId="0" borderId="0" xfId="0" applyFont="1" applyAlignment="1">
      <alignment horizontal="right"/>
    </xf>
    <xf numFmtId="2" fontId="3" fillId="26" borderId="0" xfId="0" applyNumberFormat="1" applyFont="1" applyFill="1" applyAlignment="1">
      <alignment horizontal="center"/>
    </xf>
    <xf numFmtId="0" fontId="3" fillId="0" borderId="0" xfId="0" applyFont="1" applyAlignment="1">
      <alignment horizontal="center"/>
    </xf>
    <xf numFmtId="2" fontId="3" fillId="0" borderId="0" xfId="0" applyNumberFormat="1" applyFont="1" applyAlignment="1">
      <alignment horizontal="center"/>
    </xf>
    <xf numFmtId="166" fontId="3" fillId="0" borderId="0" xfId="0" applyNumberFormat="1" applyFont="1"/>
    <xf numFmtId="166" fontId="3" fillId="0" borderId="0" xfId="0" applyNumberFormat="1" applyFont="1" applyAlignment="1">
      <alignment horizontal="center"/>
    </xf>
    <xf numFmtId="2" fontId="3" fillId="0" borderId="0" xfId="0" applyNumberFormat="1" applyFont="1" applyAlignment="1">
      <alignment horizontal="left" vertical="center"/>
    </xf>
    <xf numFmtId="0" fontId="29" fillId="0" borderId="0" xfId="0" applyFont="1" applyAlignment="1">
      <alignment horizontal="center"/>
    </xf>
    <xf numFmtId="0" fontId="37" fillId="25" borderId="0" xfId="0" applyFont="1" applyFill="1"/>
    <xf numFmtId="0" fontId="21" fillId="25" borderId="0" xfId="0" applyFont="1" applyFill="1"/>
    <xf numFmtId="0" fontId="30" fillId="0" borderId="0" xfId="0" applyFont="1" applyAlignment="1">
      <alignment horizontal="left"/>
    </xf>
    <xf numFmtId="0" fontId="42" fillId="0" borderId="0" xfId="0" applyFont="1" applyAlignment="1">
      <alignment horizontal="center"/>
    </xf>
    <xf numFmtId="2" fontId="21" fillId="0" borderId="0" xfId="0" applyNumberFormat="1" applyFont="1"/>
    <xf numFmtId="166" fontId="47" fillId="0" borderId="0" xfId="0" applyNumberFormat="1" applyFont="1" applyAlignment="1">
      <alignment horizontal="center"/>
    </xf>
    <xf numFmtId="2" fontId="21" fillId="0" borderId="0" xfId="0" applyNumberFormat="1" applyFont="1" applyAlignment="1">
      <alignment horizontal="center"/>
    </xf>
    <xf numFmtId="0" fontId="21" fillId="0" borderId="10" xfId="0" applyFont="1" applyBorder="1" applyAlignment="1">
      <alignment horizontal="center" vertical="center" wrapText="1"/>
    </xf>
    <xf numFmtId="0" fontId="3" fillId="0" borderId="10" xfId="0" applyFont="1" applyBorder="1" applyAlignment="1">
      <alignment vertical="center" wrapText="1"/>
    </xf>
    <xf numFmtId="0" fontId="30" fillId="0" borderId="0" xfId="0" applyFont="1"/>
    <xf numFmtId="10" fontId="42" fillId="25" borderId="21" xfId="0" applyNumberFormat="1" applyFont="1" applyFill="1" applyBorder="1" applyAlignment="1">
      <alignment horizontal="center" vertical="center"/>
    </xf>
    <xf numFmtId="0" fontId="42" fillId="25" borderId="0" xfId="0" applyFont="1" applyFill="1"/>
    <xf numFmtId="43" fontId="42" fillId="25" borderId="22" xfId="0" applyNumberFormat="1" applyFont="1" applyFill="1" applyBorder="1" applyAlignment="1">
      <alignment horizontal="center" vertical="center" wrapText="1"/>
    </xf>
    <xf numFmtId="0" fontId="0" fillId="24" borderId="0" xfId="0" applyFill="1"/>
    <xf numFmtId="7" fontId="21" fillId="0" borderId="17" xfId="0" applyNumberFormat="1" applyFont="1" applyBorder="1" applyAlignment="1">
      <alignment horizontal="left" vertical="center" wrapText="1"/>
    </xf>
    <xf numFmtId="0" fontId="21" fillId="0" borderId="17" xfId="0" applyFont="1" applyBorder="1" applyAlignment="1">
      <alignment vertical="center" wrapText="1"/>
    </xf>
    <xf numFmtId="0" fontId="21" fillId="0" borderId="16" xfId="0" applyFont="1" applyBorder="1" applyAlignment="1">
      <alignment vertical="center" wrapText="1"/>
    </xf>
    <xf numFmtId="0" fontId="21" fillId="0" borderId="0" xfId="0" applyFont="1" applyAlignment="1">
      <alignment vertical="center" wrapText="1"/>
    </xf>
    <xf numFmtId="0" fontId="22" fillId="0" borderId="0" xfId="0" applyFont="1" applyAlignment="1">
      <alignment vertical="center"/>
    </xf>
    <xf numFmtId="49" fontId="22" fillId="0" borderId="10" xfId="0" applyNumberFormat="1" applyFont="1" applyBorder="1" applyAlignment="1">
      <alignment horizontal="center" vertical="center"/>
    </xf>
    <xf numFmtId="2" fontId="22" fillId="0" borderId="10" xfId="0" applyNumberFormat="1" applyFont="1" applyBorder="1" applyAlignment="1">
      <alignment vertical="center"/>
    </xf>
    <xf numFmtId="0" fontId="48" fillId="0" borderId="0" xfId="0" applyFont="1" applyAlignment="1">
      <alignment horizontal="left" vertical="center"/>
    </xf>
    <xf numFmtId="0" fontId="48" fillId="0" borderId="0" xfId="0" applyFont="1" applyAlignment="1">
      <alignment horizontal="center" vertical="center"/>
    </xf>
    <xf numFmtId="168" fontId="48" fillId="0" borderId="0" xfId="43" applyNumberFormat="1" applyFont="1" applyFill="1" applyBorder="1" applyAlignment="1">
      <alignment horizontal="right" vertical="center"/>
    </xf>
    <xf numFmtId="43" fontId="48" fillId="0" borderId="0" xfId="43" applyFont="1" applyFill="1" applyBorder="1" applyAlignment="1">
      <alignment horizontal="right" vertical="center"/>
    </xf>
    <xf numFmtId="169" fontId="48" fillId="0" borderId="0" xfId="43" applyNumberFormat="1" applyFont="1" applyFill="1" applyBorder="1" applyAlignment="1">
      <alignment horizontal="right" vertical="center"/>
    </xf>
    <xf numFmtId="2" fontId="22" fillId="0" borderId="10" xfId="0" applyNumberFormat="1" applyFont="1" applyBorder="1" applyAlignment="1">
      <alignment vertical="center" wrapText="1"/>
    </xf>
    <xf numFmtId="2" fontId="22" fillId="0" borderId="10" xfId="0" applyNumberFormat="1" applyFont="1" applyBorder="1" applyAlignment="1">
      <alignment horizontal="center" vertical="center"/>
    </xf>
    <xf numFmtId="0" fontId="22" fillId="0" borderId="10" xfId="0" applyFont="1" applyBorder="1" applyAlignment="1">
      <alignment horizontal="left" vertical="center"/>
    </xf>
    <xf numFmtId="169" fontId="50" fillId="0" borderId="10" xfId="43" applyNumberFormat="1" applyFont="1" applyFill="1" applyBorder="1" applyAlignment="1">
      <alignment horizontal="center" vertical="center"/>
    </xf>
    <xf numFmtId="0" fontId="50" fillId="25" borderId="10" xfId="0" applyFont="1" applyFill="1" applyBorder="1" applyAlignment="1">
      <alignment vertical="center"/>
    </xf>
    <xf numFmtId="0" fontId="50" fillId="25" borderId="10" xfId="0" applyFont="1" applyFill="1" applyBorder="1" applyAlignment="1">
      <alignment horizontal="center" vertical="center"/>
    </xf>
    <xf numFmtId="0" fontId="50" fillId="25" borderId="10" xfId="0" applyFont="1" applyFill="1" applyBorder="1" applyAlignment="1">
      <alignment horizontal="left" vertical="center"/>
    </xf>
    <xf numFmtId="168" fontId="50" fillId="25" borderId="10" xfId="43" applyNumberFormat="1" applyFont="1" applyFill="1" applyBorder="1" applyAlignment="1">
      <alignment horizontal="center" vertical="center"/>
    </xf>
    <xf numFmtId="43" fontId="50" fillId="25" borderId="10" xfId="43" applyFont="1" applyFill="1" applyBorder="1" applyAlignment="1">
      <alignment horizontal="right" vertical="center"/>
    </xf>
    <xf numFmtId="169" fontId="50" fillId="25" borderId="10" xfId="43" applyNumberFormat="1" applyFont="1" applyFill="1" applyBorder="1" applyAlignment="1">
      <alignment horizontal="right" vertical="center"/>
    </xf>
    <xf numFmtId="0" fontId="3" fillId="0" borderId="0" xfId="0" applyFont="1" applyAlignment="1">
      <alignment horizontal="left"/>
    </xf>
    <xf numFmtId="0" fontId="42" fillId="0" borderId="0" xfId="0" applyFont="1"/>
    <xf numFmtId="0" fontId="51" fillId="25" borderId="21" xfId="0" applyFont="1" applyFill="1" applyBorder="1" applyAlignment="1">
      <alignment horizontal="center" vertical="center"/>
    </xf>
    <xf numFmtId="0" fontId="51" fillId="25" borderId="0" xfId="0" applyFont="1" applyFill="1"/>
    <xf numFmtId="0" fontId="51" fillId="0" borderId="21" xfId="0" applyFont="1" applyBorder="1" applyAlignment="1">
      <alignment horizontal="center" vertical="center"/>
    </xf>
    <xf numFmtId="0" fontId="52" fillId="0" borderId="0" xfId="0" applyFont="1"/>
    <xf numFmtId="0" fontId="51" fillId="0" borderId="0" xfId="0" applyFont="1" applyAlignment="1">
      <alignment horizontal="center"/>
    </xf>
    <xf numFmtId="0" fontId="0" fillId="0" borderId="22" xfId="0" applyBorder="1"/>
    <xf numFmtId="0" fontId="0" fillId="0" borderId="0" xfId="0" applyAlignment="1">
      <alignment horizontal="right"/>
    </xf>
    <xf numFmtId="2" fontId="0" fillId="26" borderId="0" xfId="0" applyNumberFormat="1" applyFill="1" applyAlignment="1">
      <alignment horizontal="center"/>
    </xf>
    <xf numFmtId="0" fontId="0" fillId="0" borderId="0" xfId="0" applyAlignment="1">
      <alignment horizontal="center"/>
    </xf>
    <xf numFmtId="2" fontId="0" fillId="0" borderId="0" xfId="0" applyNumberFormat="1" applyAlignment="1">
      <alignment horizontal="left"/>
    </xf>
    <xf numFmtId="166" fontId="0" fillId="0" borderId="0" xfId="0" applyNumberFormat="1"/>
    <xf numFmtId="166" fontId="0" fillId="0" borderId="0" xfId="0" applyNumberFormat="1" applyAlignment="1">
      <alignment horizontal="center"/>
    </xf>
    <xf numFmtId="2" fontId="0" fillId="25" borderId="22" xfId="0" applyNumberFormat="1" applyFill="1" applyBorder="1" applyAlignment="1">
      <alignment horizontal="center"/>
    </xf>
    <xf numFmtId="0" fontId="0" fillId="0" borderId="21" xfId="0" applyBorder="1"/>
    <xf numFmtId="2" fontId="0" fillId="0" borderId="0" xfId="0" applyNumberFormat="1" applyAlignment="1">
      <alignment horizontal="center"/>
    </xf>
    <xf numFmtId="0" fontId="51" fillId="0" borderId="0" xfId="0" applyFont="1"/>
    <xf numFmtId="10" fontId="42" fillId="0" borderId="0" xfId="0" applyNumberFormat="1" applyFont="1" applyAlignment="1">
      <alignment horizontal="left" vertical="center" wrapText="1"/>
    </xf>
    <xf numFmtId="43" fontId="42" fillId="0" borderId="22" xfId="0" applyNumberFormat="1" applyFont="1" applyBorder="1" applyAlignment="1">
      <alignment horizontal="center" vertical="center" wrapText="1"/>
    </xf>
    <xf numFmtId="0" fontId="54" fillId="0" borderId="0" xfId="0" applyFont="1"/>
    <xf numFmtId="2" fontId="3" fillId="0" borderId="0" xfId="0" applyNumberFormat="1" applyFont="1" applyAlignment="1">
      <alignment horizontal="left"/>
    </xf>
    <xf numFmtId="0" fontId="29" fillId="25" borderId="0" xfId="0" applyFont="1" applyFill="1"/>
    <xf numFmtId="43" fontId="21" fillId="0" borderId="10" xfId="44" applyFont="1" applyFill="1" applyBorder="1" applyAlignment="1">
      <alignment vertical="center"/>
    </xf>
    <xf numFmtId="0" fontId="26" fillId="0" borderId="0" xfId="0" applyFont="1"/>
    <xf numFmtId="43" fontId="29" fillId="0" borderId="0" xfId="0" applyNumberFormat="1" applyFont="1"/>
    <xf numFmtId="2" fontId="21" fillId="0" borderId="22" xfId="0" applyNumberFormat="1" applyFont="1" applyBorder="1" applyAlignment="1">
      <alignment horizontal="center"/>
    </xf>
    <xf numFmtId="43" fontId="3" fillId="0" borderId="0" xfId="0" applyNumberFormat="1" applyFont="1"/>
    <xf numFmtId="0" fontId="21" fillId="0" borderId="21" xfId="0" applyFont="1" applyBorder="1" applyAlignment="1">
      <alignment horizontal="center" vertical="center"/>
    </xf>
    <xf numFmtId="0" fontId="21" fillId="0" borderId="0" xfId="0" applyFont="1"/>
    <xf numFmtId="166" fontId="21" fillId="0" borderId="0" xfId="0" applyNumberFormat="1" applyFont="1" applyAlignment="1">
      <alignment horizontal="center"/>
    </xf>
    <xf numFmtId="0" fontId="21" fillId="0" borderId="21" xfId="0" applyFont="1" applyBorder="1"/>
    <xf numFmtId="0" fontId="21" fillId="0" borderId="0" xfId="0" applyFont="1" applyAlignment="1">
      <alignment horizontal="left"/>
    </xf>
    <xf numFmtId="2" fontId="21" fillId="0" borderId="0" xfId="0" applyNumberFormat="1" applyFont="1" applyAlignment="1">
      <alignment horizontal="left" vertical="center"/>
    </xf>
    <xf numFmtId="0" fontId="32" fillId="0" borderId="0" xfId="0" applyFont="1"/>
    <xf numFmtId="0" fontId="21" fillId="0" borderId="0" xfId="0" applyFont="1" applyAlignment="1">
      <alignment horizontal="right"/>
    </xf>
    <xf numFmtId="0" fontId="21" fillId="0" borderId="0" xfId="0" applyFont="1" applyAlignment="1">
      <alignment horizontal="center"/>
    </xf>
    <xf numFmtId="166" fontId="21" fillId="0" borderId="0" xfId="0" applyNumberFormat="1" applyFont="1"/>
    <xf numFmtId="0" fontId="30" fillId="0" borderId="0" xfId="46" applyFont="1"/>
    <xf numFmtId="0" fontId="55" fillId="0" borderId="0" xfId="0" applyFont="1"/>
    <xf numFmtId="2" fontId="21" fillId="26" borderId="0" xfId="0" applyNumberFormat="1" applyFont="1" applyFill="1" applyAlignment="1">
      <alignment horizontal="center"/>
    </xf>
    <xf numFmtId="0" fontId="56" fillId="0" borderId="0" xfId="0" applyFont="1" applyAlignment="1">
      <alignment horizontal="center"/>
    </xf>
    <xf numFmtId="0" fontId="37" fillId="0" borderId="0" xfId="0" applyFont="1" applyAlignment="1">
      <alignment horizontal="center"/>
    </xf>
    <xf numFmtId="170" fontId="3" fillId="0" borderId="0" xfId="0" applyNumberFormat="1" applyFont="1"/>
    <xf numFmtId="0" fontId="3" fillId="0" borderId="26" xfId="46" applyFont="1" applyBorder="1" applyAlignment="1">
      <alignment horizontal="center" vertical="center"/>
    </xf>
    <xf numFmtId="10" fontId="3" fillId="0" borderId="36" xfId="46" applyNumberFormat="1" applyFont="1" applyBorder="1" applyAlignment="1">
      <alignment horizontal="center" vertical="center"/>
    </xf>
    <xf numFmtId="0" fontId="3" fillId="0" borderId="21" xfId="46" applyFont="1" applyBorder="1" applyAlignment="1">
      <alignment horizontal="center" vertical="top"/>
    </xf>
    <xf numFmtId="0" fontId="3" fillId="0" borderId="0" xfId="46" applyFont="1" applyAlignment="1">
      <alignment horizontal="center" vertical="top"/>
    </xf>
    <xf numFmtId="0" fontId="3" fillId="0" borderId="22" xfId="46" applyFont="1" applyBorder="1" applyAlignment="1">
      <alignment horizontal="center" vertical="top"/>
    </xf>
    <xf numFmtId="14" fontId="44" fillId="0" borderId="10" xfId="0" applyNumberFormat="1" applyFont="1" applyBorder="1" applyAlignment="1">
      <alignment vertical="center"/>
    </xf>
    <xf numFmtId="0" fontId="39" fillId="0" borderId="10" xfId="0" applyFont="1" applyBorder="1" applyAlignment="1">
      <alignment horizontal="center" vertical="center"/>
    </xf>
    <xf numFmtId="14" fontId="21" fillId="0" borderId="10" xfId="0" applyNumberFormat="1" applyFont="1" applyBorder="1" applyAlignment="1">
      <alignment vertical="center"/>
    </xf>
    <xf numFmtId="0" fontId="21" fillId="0" borderId="12" xfId="0" applyFont="1" applyBorder="1" applyAlignment="1">
      <alignment vertical="center"/>
    </xf>
    <xf numFmtId="0" fontId="3" fillId="27" borderId="0" xfId="0" applyFont="1" applyFill="1"/>
    <xf numFmtId="0" fontId="26" fillId="0" borderId="0" xfId="0" applyFont="1" applyAlignment="1">
      <alignment horizontal="left"/>
    </xf>
    <xf numFmtId="0" fontId="26" fillId="0" borderId="22" xfId="0" applyFont="1" applyBorder="1" applyAlignment="1">
      <alignment horizontal="left"/>
    </xf>
    <xf numFmtId="0" fontId="3" fillId="0" borderId="10" xfId="0" applyFont="1" applyBorder="1" applyAlignment="1">
      <alignment horizontal="center" vertical="center"/>
    </xf>
    <xf numFmtId="10" fontId="42" fillId="0" borderId="21" xfId="0" applyNumberFormat="1" applyFont="1" applyBorder="1" applyAlignment="1">
      <alignment horizontal="center" vertical="center"/>
    </xf>
    <xf numFmtId="10" fontId="33" fillId="0" borderId="10" xfId="0" applyNumberFormat="1" applyFont="1" applyBorder="1" applyAlignment="1">
      <alignment horizontal="center" vertical="center"/>
    </xf>
    <xf numFmtId="10" fontId="33" fillId="0" borderId="10" xfId="0" applyNumberFormat="1" applyFont="1" applyBorder="1" applyAlignment="1">
      <alignment horizontal="left" vertical="top" wrapText="1"/>
    </xf>
    <xf numFmtId="0" fontId="3" fillId="0" borderId="10" xfId="0" applyFont="1" applyBorder="1" applyAlignment="1">
      <alignment horizontal="left" vertical="center" wrapText="1"/>
    </xf>
    <xf numFmtId="43" fontId="3" fillId="0" borderId="10" xfId="44" applyFont="1" applyFill="1" applyBorder="1" applyAlignment="1">
      <alignment horizontal="right" vertical="center"/>
    </xf>
    <xf numFmtId="43" fontId="33" fillId="0" borderId="16" xfId="44" applyFont="1" applyFill="1" applyBorder="1" applyAlignment="1">
      <alignment horizontal="center" vertical="center"/>
    </xf>
    <xf numFmtId="0" fontId="33" fillId="0" borderId="10" xfId="0" applyFont="1" applyBorder="1" applyAlignment="1">
      <alignment vertical="center" wrapText="1"/>
    </xf>
    <xf numFmtId="0" fontId="33" fillId="0" borderId="10" xfId="0" applyFont="1" applyBorder="1" applyAlignment="1">
      <alignment horizontal="left" vertical="center" wrapText="1"/>
    </xf>
    <xf numFmtId="10" fontId="33" fillId="0" borderId="10" xfId="0" applyNumberFormat="1" applyFont="1" applyBorder="1" applyAlignment="1">
      <alignment wrapText="1"/>
    </xf>
    <xf numFmtId="43" fontId="33" fillId="0" borderId="10" xfId="44" applyFont="1" applyFill="1" applyBorder="1" applyAlignment="1">
      <alignment horizontal="center" vertical="center" wrapText="1"/>
    </xf>
    <xf numFmtId="0" fontId="33" fillId="0" borderId="10" xfId="0" applyFont="1" applyBorder="1" applyAlignment="1">
      <alignment wrapText="1"/>
    </xf>
    <xf numFmtId="2" fontId="33" fillId="0" borderId="10" xfId="0" applyNumberFormat="1" applyFont="1" applyBorder="1" applyAlignment="1">
      <alignment horizontal="center" vertical="center"/>
    </xf>
    <xf numFmtId="43" fontId="33" fillId="0" borderId="10" xfId="44" applyFont="1" applyFill="1" applyBorder="1" applyAlignment="1">
      <alignment horizontal="right" vertical="center" wrapText="1"/>
    </xf>
    <xf numFmtId="0" fontId="33"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wrapText="1"/>
    </xf>
    <xf numFmtId="43" fontId="3" fillId="0" borderId="16" xfId="44" applyFont="1" applyFill="1" applyBorder="1" applyAlignment="1">
      <alignment horizontal="right" vertical="center"/>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3" fillId="0" borderId="21" xfId="0" applyFont="1" applyBorder="1" applyAlignment="1">
      <alignment horizontal="center" vertical="center"/>
    </xf>
    <xf numFmtId="0" fontId="3" fillId="0" borderId="0" xfId="0" applyFont="1" applyAlignment="1">
      <alignment horizontal="center"/>
    </xf>
    <xf numFmtId="0" fontId="3" fillId="0" borderId="21" xfId="0" applyFont="1" applyBorder="1" applyAlignment="1">
      <alignment horizontal="center" vertical="center"/>
    </xf>
    <xf numFmtId="0" fontId="3" fillId="0" borderId="0" xfId="0" applyFont="1" applyAlignment="1">
      <alignment horizontal="center"/>
    </xf>
    <xf numFmtId="0" fontId="3" fillId="0" borderId="21" xfId="0" applyFont="1" applyBorder="1" applyAlignment="1">
      <alignment horizontal="center" vertical="center"/>
    </xf>
    <xf numFmtId="0" fontId="21" fillId="0" borderId="2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3" fillId="0" borderId="0" xfId="0" applyFont="1" applyFill="1" applyAlignment="1">
      <alignment horizontal="center"/>
    </xf>
    <xf numFmtId="2" fontId="3" fillId="0" borderId="0" xfId="0" applyNumberFormat="1" applyFont="1" applyFill="1" applyAlignment="1">
      <alignment horizontal="center"/>
    </xf>
    <xf numFmtId="0" fontId="3" fillId="0" borderId="0" xfId="0" applyFont="1" applyFill="1"/>
    <xf numFmtId="0" fontId="36" fillId="0" borderId="0" xfId="0" applyFont="1" applyFill="1" applyAlignment="1">
      <alignment horizontal="center"/>
    </xf>
    <xf numFmtId="0" fontId="29" fillId="0" borderId="0" xfId="0" applyFont="1" applyFill="1"/>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2" fontId="3" fillId="0" borderId="0" xfId="0" applyNumberFormat="1" applyFont="1" applyFill="1" applyBorder="1" applyAlignment="1">
      <alignment horizontal="center"/>
    </xf>
    <xf numFmtId="0" fontId="3" fillId="0" borderId="0" xfId="0" applyFont="1" applyFill="1" applyBorder="1" applyAlignment="1">
      <alignment horizontal="center"/>
    </xf>
    <xf numFmtId="0" fontId="42" fillId="0" borderId="0" xfId="0" applyFont="1" applyFill="1" applyBorder="1" applyAlignment="1">
      <alignment horizontal="center"/>
    </xf>
    <xf numFmtId="0" fontId="3" fillId="0" borderId="0" xfId="0" applyFont="1" applyFill="1" applyBorder="1"/>
    <xf numFmtId="0" fontId="42" fillId="0" borderId="0" xfId="0" applyFont="1" applyFill="1" applyAlignment="1">
      <alignment horizontal="center"/>
    </xf>
    <xf numFmtId="2" fontId="3" fillId="0" borderId="0" xfId="0" applyNumberFormat="1" applyFont="1" applyFill="1"/>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62" fillId="25" borderId="10" xfId="0" applyFont="1" applyFill="1" applyBorder="1" applyAlignment="1">
      <alignment vertical="center"/>
    </xf>
    <xf numFmtId="0" fontId="62" fillId="25" borderId="10" xfId="0" applyFont="1" applyFill="1" applyBorder="1" applyAlignment="1">
      <alignment horizontal="center" vertical="center"/>
    </xf>
    <xf numFmtId="0" fontId="62" fillId="25" borderId="10" xfId="0" applyFont="1" applyFill="1" applyBorder="1" applyAlignment="1">
      <alignment horizontal="left" vertical="center"/>
    </xf>
    <xf numFmtId="168" fontId="62" fillId="25" borderId="10" xfId="43" applyNumberFormat="1" applyFont="1" applyFill="1" applyBorder="1" applyAlignment="1">
      <alignment horizontal="center" vertical="center"/>
    </xf>
    <xf numFmtId="43" fontId="62" fillId="25" borderId="10" xfId="43" applyFont="1" applyFill="1" applyBorder="1" applyAlignment="1">
      <alignment horizontal="right" vertical="center"/>
    </xf>
    <xf numFmtId="44" fontId="62" fillId="25" borderId="10" xfId="45" applyFont="1" applyFill="1" applyBorder="1" applyAlignment="1">
      <alignment horizontal="center" vertical="center"/>
    </xf>
    <xf numFmtId="44" fontId="22" fillId="0" borderId="10" xfId="45" applyFont="1" applyBorder="1" applyAlignment="1">
      <alignment horizontal="center" vertical="center"/>
    </xf>
    <xf numFmtId="0" fontId="3" fillId="0" borderId="0" xfId="0" applyFont="1" applyAlignment="1">
      <alignment horizontal="left" vertical="center"/>
    </xf>
    <xf numFmtId="168" fontId="3" fillId="0" borderId="0" xfId="43" applyNumberFormat="1" applyFont="1" applyFill="1" applyBorder="1" applyAlignment="1">
      <alignment horizontal="right" vertical="center"/>
    </xf>
    <xf numFmtId="43" fontId="3" fillId="0" borderId="0" xfId="43" applyFont="1" applyFill="1" applyBorder="1" applyAlignment="1">
      <alignment horizontal="right" vertical="center"/>
    </xf>
    <xf numFmtId="169" fontId="3" fillId="0" borderId="0" xfId="43" applyNumberFormat="1" applyFont="1" applyFill="1" applyBorder="1" applyAlignment="1">
      <alignment horizontal="right" vertical="center"/>
    </xf>
    <xf numFmtId="44" fontId="50" fillId="0" borderId="10" xfId="45" applyFont="1" applyFill="1" applyBorder="1" applyAlignment="1">
      <alignment horizontal="center" vertical="center"/>
    </xf>
    <xf numFmtId="10" fontId="3" fillId="0" borderId="10" xfId="0" applyNumberFormat="1" applyFont="1" applyBorder="1" applyAlignment="1">
      <alignment horizontal="left" vertical="center" wrapText="1"/>
    </xf>
    <xf numFmtId="172" fontId="63" fillId="0" borderId="43" xfId="0" applyNumberFormat="1" applyFont="1" applyBorder="1" applyAlignment="1">
      <alignment vertical="top"/>
    </xf>
    <xf numFmtId="0" fontId="3" fillId="0" borderId="0" xfId="0" applyFont="1" applyAlignment="1">
      <alignment horizontal="center"/>
    </xf>
    <xf numFmtId="0" fontId="53" fillId="25" borderId="21" xfId="0" applyFont="1" applyFill="1" applyBorder="1" applyAlignment="1">
      <alignment horizontal="center" vertical="center"/>
    </xf>
    <xf numFmtId="0" fontId="53" fillId="25" borderId="0" xfId="0" applyFont="1" applyFill="1"/>
    <xf numFmtId="0" fontId="3" fillId="0" borderId="10" xfId="0" applyFont="1" applyBorder="1" applyAlignment="1">
      <alignment horizontal="center" vertical="center"/>
    </xf>
    <xf numFmtId="0" fontId="3" fillId="0" borderId="0" xfId="0" applyFont="1" applyAlignment="1">
      <alignment horizontal="center"/>
    </xf>
    <xf numFmtId="0" fontId="0" fillId="0" borderId="0" xfId="0" applyFont="1"/>
    <xf numFmtId="10" fontId="29" fillId="28" borderId="26" xfId="46" applyNumberFormat="1" applyFont="1" applyFill="1" applyBorder="1" applyAlignment="1" applyProtection="1">
      <alignment horizontal="center" vertical="center"/>
      <protection locked="0"/>
    </xf>
    <xf numFmtId="0" fontId="21" fillId="0" borderId="45" xfId="46" applyFont="1" applyBorder="1" applyAlignment="1">
      <alignment horizontal="center" vertical="center" wrapText="1"/>
    </xf>
    <xf numFmtId="10" fontId="21" fillId="0" borderId="44" xfId="46" applyNumberFormat="1"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3" fillId="0" borderId="10" xfId="0" applyFont="1" applyBorder="1" applyAlignment="1">
      <alignment horizontal="center" vertical="center"/>
    </xf>
    <xf numFmtId="0" fontId="3" fillId="0" borderId="0" xfId="0" applyFont="1" applyAlignment="1">
      <alignment horizontal="center"/>
    </xf>
    <xf numFmtId="0" fontId="3" fillId="0" borderId="0" xfId="0" applyFont="1" applyAlignment="1"/>
    <xf numFmtId="2" fontId="64" fillId="26" borderId="0" xfId="0" applyNumberFormat="1" applyFont="1" applyFill="1" applyAlignment="1">
      <alignment horizontal="center"/>
    </xf>
    <xf numFmtId="0" fontId="53" fillId="0" borderId="21" xfId="0" applyFont="1" applyBorder="1" applyAlignment="1">
      <alignment horizontal="center" vertical="center"/>
    </xf>
    <xf numFmtId="0" fontId="53" fillId="0" borderId="0" xfId="0" applyFont="1" applyAlignment="1">
      <alignment horizontal="center"/>
    </xf>
    <xf numFmtId="0" fontId="3" fillId="0" borderId="10" xfId="0" applyFont="1" applyBorder="1" applyAlignment="1">
      <alignment horizontal="center" vertical="center"/>
    </xf>
    <xf numFmtId="2" fontId="21" fillId="0" borderId="22" xfId="0" applyNumberFormat="1" applyFont="1" applyFill="1" applyBorder="1" applyAlignment="1">
      <alignment horizontal="center"/>
    </xf>
    <xf numFmtId="0" fontId="3" fillId="0" borderId="10" xfId="0" applyFont="1" applyBorder="1" applyAlignment="1">
      <alignment horizontal="center" vertical="center"/>
    </xf>
    <xf numFmtId="0" fontId="65" fillId="0" borderId="0" xfId="0" applyFont="1"/>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21" xfId="47" applyNumberFormat="1" applyFont="1" applyBorder="1" applyAlignment="1">
      <alignment horizontal="center" vertical="center" wrapText="1"/>
    </xf>
    <xf numFmtId="0" fontId="3" fillId="0" borderId="0" xfId="47" applyNumberFormat="1" applyFont="1" applyBorder="1" applyAlignment="1">
      <alignment horizontal="center" vertical="center" wrapText="1"/>
    </xf>
    <xf numFmtId="0" fontId="3" fillId="0" borderId="22" xfId="47" applyNumberFormat="1" applyFont="1" applyBorder="1" applyAlignment="1">
      <alignment horizontal="center" vertical="center" wrapText="1"/>
    </xf>
    <xf numFmtId="0" fontId="21" fillId="0" borderId="21" xfId="0" applyFont="1" applyBorder="1" applyAlignment="1">
      <alignment horizontal="center" vertical="center"/>
    </xf>
    <xf numFmtId="0" fontId="21" fillId="0" borderId="0" xfId="0" applyFont="1" applyAlignment="1">
      <alignment horizontal="center" vertical="center"/>
    </xf>
    <xf numFmtId="0" fontId="21" fillId="0" borderId="22" xfId="0" applyFont="1" applyBorder="1" applyAlignment="1">
      <alignment horizontal="center" vertical="center"/>
    </xf>
    <xf numFmtId="0" fontId="32" fillId="25" borderId="12" xfId="0" applyFont="1" applyFill="1" applyBorder="1" applyAlignment="1">
      <alignment horizontal="right" vertical="center"/>
    </xf>
    <xf numFmtId="0" fontId="32" fillId="25" borderId="17" xfId="0" applyFont="1" applyFill="1" applyBorder="1" applyAlignment="1">
      <alignment horizontal="right" vertical="center"/>
    </xf>
    <xf numFmtId="43" fontId="32" fillId="25" borderId="16" xfId="44" applyFont="1" applyFill="1" applyBorder="1" applyAlignment="1">
      <alignment horizontal="center" vertical="center"/>
    </xf>
    <xf numFmtId="43" fontId="32" fillId="25" borderId="10" xfId="44" applyFont="1" applyFill="1" applyBorder="1" applyAlignment="1">
      <alignment horizontal="center" vertical="center"/>
    </xf>
    <xf numFmtId="0" fontId="21" fillId="25" borderId="10" xfId="0" applyFont="1" applyFill="1" applyBorder="1" applyAlignment="1">
      <alignment horizontal="center" vertical="center"/>
    </xf>
    <xf numFmtId="0" fontId="21" fillId="25" borderId="23" xfId="0" applyFont="1" applyFill="1" applyBorder="1" applyAlignment="1">
      <alignment horizontal="center" vertical="center"/>
    </xf>
    <xf numFmtId="0" fontId="32" fillId="25" borderId="12" xfId="0" applyFont="1" applyFill="1" applyBorder="1" applyAlignment="1">
      <alignment horizontal="center" vertical="center"/>
    </xf>
    <xf numFmtId="0" fontId="32" fillId="25" borderId="17" xfId="0" applyFont="1" applyFill="1" applyBorder="1" applyAlignment="1">
      <alignment horizontal="center" vertical="center"/>
    </xf>
    <xf numFmtId="0" fontId="32" fillId="25" borderId="16"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17" xfId="0" applyFont="1" applyFill="1" applyBorder="1" applyAlignment="1">
      <alignment horizontal="center" vertical="center"/>
    </xf>
    <xf numFmtId="0" fontId="21" fillId="25" borderId="16" xfId="0" applyFont="1" applyFill="1" applyBorder="1" applyAlignment="1">
      <alignment horizontal="center" vertical="center"/>
    </xf>
    <xf numFmtId="0" fontId="21" fillId="25" borderId="12" xfId="0" applyFont="1" applyFill="1" applyBorder="1" applyAlignment="1">
      <alignment horizontal="right" vertical="center"/>
    </xf>
    <xf numFmtId="0" fontId="21" fillId="25" borderId="17" xfId="0" applyFont="1" applyFill="1" applyBorder="1" applyAlignment="1">
      <alignment horizontal="right" vertical="center"/>
    </xf>
    <xf numFmtId="43" fontId="21" fillId="25" borderId="16" xfId="44" applyFont="1" applyFill="1" applyBorder="1" applyAlignment="1">
      <alignment horizontal="center" vertical="center"/>
    </xf>
    <xf numFmtId="43" fontId="21" fillId="25" borderId="10" xfId="44" applyFont="1" applyFill="1" applyBorder="1" applyAlignment="1">
      <alignment horizontal="center" vertical="center"/>
    </xf>
    <xf numFmtId="0" fontId="3" fillId="0" borderId="20" xfId="47" applyNumberFormat="1" applyFont="1" applyBorder="1" applyAlignment="1">
      <alignment horizontal="center" vertical="center" wrapText="1"/>
    </xf>
    <xf numFmtId="0" fontId="3" fillId="0" borderId="18" xfId="47" applyNumberFormat="1" applyFont="1" applyBorder="1" applyAlignment="1">
      <alignment horizontal="center" vertical="center" wrapText="1"/>
    </xf>
    <xf numFmtId="0" fontId="3" fillId="0" borderId="19" xfId="47" applyNumberFormat="1" applyFont="1" applyBorder="1" applyAlignment="1">
      <alignment horizontal="center" vertical="center" wrapText="1"/>
    </xf>
    <xf numFmtId="2" fontId="28" fillId="25" borderId="12" xfId="0" applyNumberFormat="1" applyFont="1" applyFill="1" applyBorder="1" applyAlignment="1">
      <alignment horizontal="center" vertical="center"/>
    </xf>
    <xf numFmtId="2" fontId="28" fillId="25" borderId="17" xfId="0" applyNumberFormat="1" applyFont="1" applyFill="1" applyBorder="1" applyAlignment="1">
      <alignment horizontal="center" vertical="center"/>
    </xf>
    <xf numFmtId="2" fontId="28" fillId="25" borderId="16" xfId="0" applyNumberFormat="1" applyFont="1" applyFill="1" applyBorder="1" applyAlignment="1">
      <alignment horizontal="center" vertical="center"/>
    </xf>
    <xf numFmtId="0" fontId="34" fillId="0" borderId="10" xfId="0" applyFont="1" applyBorder="1" applyAlignment="1">
      <alignment horizontal="center" vertical="center" wrapText="1"/>
    </xf>
    <xf numFmtId="0" fontId="32" fillId="25" borderId="10" xfId="0" applyFont="1" applyFill="1" applyBorder="1" applyAlignment="1">
      <alignment horizontal="center" vertical="center"/>
    </xf>
    <xf numFmtId="0" fontId="32" fillId="25" borderId="23" xfId="0" applyFont="1" applyFill="1" applyBorder="1" applyAlignment="1">
      <alignment horizontal="center" vertical="center"/>
    </xf>
    <xf numFmtId="0" fontId="3" fillId="24" borderId="10" xfId="0" applyFont="1" applyFill="1" applyBorder="1" applyAlignment="1">
      <alignment horizontal="center"/>
    </xf>
    <xf numFmtId="0" fontId="21" fillId="0" borderId="10" xfId="0" applyFont="1" applyBorder="1" applyAlignment="1">
      <alignment horizontal="center" vertical="center"/>
    </xf>
    <xf numFmtId="0" fontId="21" fillId="0" borderId="10" xfId="0" applyFont="1" applyBorder="1" applyAlignment="1">
      <alignment horizontal="left" vertical="top"/>
    </xf>
    <xf numFmtId="0" fontId="21" fillId="0" borderId="10" xfId="0" applyFont="1" applyBorder="1" applyAlignment="1">
      <alignment horizontal="left" vertical="center"/>
    </xf>
    <xf numFmtId="0" fontId="3" fillId="0" borderId="10" xfId="0" applyFont="1" applyBorder="1" applyAlignment="1">
      <alignment horizontal="center"/>
    </xf>
    <xf numFmtId="0" fontId="21" fillId="0" borderId="10" xfId="0" applyFont="1" applyBorder="1" applyAlignment="1">
      <alignment horizontal="left" vertical="center" wrapText="1"/>
    </xf>
    <xf numFmtId="0" fontId="21" fillId="0" borderId="10" xfId="0" applyFont="1" applyBorder="1" applyAlignment="1">
      <alignment horizontal="center"/>
    </xf>
    <xf numFmtId="164" fontId="21" fillId="0" borderId="12" xfId="33" applyNumberFormat="1" applyFont="1" applyFill="1" applyBorder="1" applyAlignment="1">
      <alignment horizontal="left" vertical="center"/>
    </xf>
    <xf numFmtId="164" fontId="21" fillId="0" borderId="17" xfId="33" applyNumberFormat="1" applyFont="1" applyFill="1" applyBorder="1" applyAlignment="1">
      <alignment horizontal="left" vertical="center"/>
    </xf>
    <xf numFmtId="43" fontId="32" fillId="25" borderId="12" xfId="44" applyFont="1" applyFill="1" applyBorder="1" applyAlignment="1">
      <alignment horizontal="center" vertical="center"/>
    </xf>
    <xf numFmtId="164" fontId="44" fillId="0" borderId="10" xfId="33" applyNumberFormat="1" applyFont="1" applyFill="1" applyBorder="1" applyAlignment="1">
      <alignment horizontal="left" vertical="center"/>
    </xf>
    <xf numFmtId="0" fontId="44" fillId="0" borderId="10" xfId="0" applyFont="1" applyBorder="1" applyAlignment="1">
      <alignment horizontal="center" vertical="center" wrapText="1"/>
    </xf>
    <xf numFmtId="0" fontId="35" fillId="24" borderId="10" xfId="0" applyFont="1" applyFill="1" applyBorder="1" applyAlignment="1">
      <alignment horizontal="center" vertical="center"/>
    </xf>
    <xf numFmtId="0" fontId="44" fillId="0" borderId="12" xfId="0" applyFont="1" applyBorder="1" applyAlignment="1">
      <alignment horizontal="center" vertical="center"/>
    </xf>
    <xf numFmtId="0" fontId="44" fillId="0" borderId="17" xfId="0" applyFont="1" applyBorder="1" applyAlignment="1">
      <alignment horizontal="center" vertical="center"/>
    </xf>
    <xf numFmtId="0" fontId="44" fillId="0" borderId="16" xfId="0" applyFont="1" applyBorder="1" applyAlignment="1">
      <alignment horizontal="center" vertical="center"/>
    </xf>
    <xf numFmtId="0" fontId="44" fillId="0" borderId="10" xfId="0" applyFont="1" applyBorder="1" applyAlignment="1">
      <alignment horizontal="left" vertical="center"/>
    </xf>
    <xf numFmtId="0" fontId="25" fillId="24" borderId="10" xfId="0" applyFont="1" applyFill="1" applyBorder="1" applyAlignment="1">
      <alignment horizontal="center" vertical="center"/>
    </xf>
    <xf numFmtId="0" fontId="44" fillId="0" borderId="12" xfId="0" applyFont="1" applyBorder="1" applyAlignment="1">
      <alignment horizontal="left" vertical="top"/>
    </xf>
    <xf numFmtId="0" fontId="44" fillId="0" borderId="17" xfId="0" applyFont="1" applyBorder="1" applyAlignment="1">
      <alignment horizontal="left" vertical="top"/>
    </xf>
    <xf numFmtId="0" fontId="44" fillId="0" borderId="10" xfId="0" applyFont="1" applyBorder="1" applyAlignment="1">
      <alignment horizontal="left" vertical="center" wrapText="1"/>
    </xf>
    <xf numFmtId="0" fontId="44" fillId="0" borderId="10" xfId="0" applyFont="1" applyBorder="1" applyAlignment="1">
      <alignment horizontal="left"/>
    </xf>
    <xf numFmtId="0" fontId="45" fillId="0" borderId="10" xfId="0" applyFont="1" applyBorder="1" applyAlignment="1">
      <alignment horizontal="center"/>
    </xf>
    <xf numFmtId="0" fontId="44" fillId="25" borderId="10" xfId="0" applyFont="1" applyFill="1" applyBorder="1" applyAlignment="1">
      <alignment horizontal="center" vertical="center" wrapText="1"/>
    </xf>
    <xf numFmtId="0" fontId="44" fillId="0" borderId="21" xfId="0" applyFont="1" applyBorder="1" applyAlignment="1">
      <alignment horizontal="center" vertical="center"/>
    </xf>
    <xf numFmtId="0" fontId="44" fillId="0" borderId="0" xfId="0" applyFont="1" applyAlignment="1">
      <alignment horizontal="center" vertical="center"/>
    </xf>
    <xf numFmtId="0" fontId="44" fillId="0" borderId="22" xfId="0" applyFont="1" applyBorder="1" applyAlignment="1">
      <alignment horizontal="center" vertical="center"/>
    </xf>
    <xf numFmtId="0" fontId="45" fillId="0" borderId="21" xfId="0" applyFont="1" applyBorder="1" applyAlignment="1">
      <alignment horizontal="center" vertical="center"/>
    </xf>
    <xf numFmtId="0" fontId="45" fillId="0" borderId="0" xfId="0" applyFont="1" applyAlignment="1">
      <alignment horizontal="center" vertical="center"/>
    </xf>
    <xf numFmtId="0" fontId="45" fillId="0" borderId="22" xfId="0" applyFont="1" applyBorder="1" applyAlignment="1">
      <alignment horizontal="center" vertical="center"/>
    </xf>
    <xf numFmtId="0" fontId="45" fillId="0" borderId="20" xfId="0" applyFont="1" applyBorder="1" applyAlignment="1">
      <alignment horizontal="center"/>
    </xf>
    <xf numFmtId="0" fontId="45" fillId="0" borderId="18" xfId="0" applyFont="1" applyBorder="1" applyAlignment="1">
      <alignment horizontal="center"/>
    </xf>
    <xf numFmtId="0" fontId="45" fillId="0" borderId="19" xfId="0" applyFont="1" applyBorder="1" applyAlignment="1">
      <alignment horizontal="center"/>
    </xf>
    <xf numFmtId="0" fontId="44" fillId="25" borderId="20" xfId="0" applyFont="1" applyFill="1" applyBorder="1" applyAlignment="1">
      <alignment horizontal="center" vertical="center" wrapText="1"/>
    </xf>
    <xf numFmtId="0" fontId="44" fillId="25" borderId="19" xfId="0" applyFont="1" applyFill="1" applyBorder="1" applyAlignment="1">
      <alignment horizontal="center" vertical="center" wrapText="1"/>
    </xf>
    <xf numFmtId="0" fontId="44" fillId="25" borderId="13" xfId="0" applyFont="1" applyFill="1" applyBorder="1" applyAlignment="1">
      <alignment horizontal="center" vertical="center" wrapText="1"/>
    </xf>
    <xf numFmtId="0" fontId="44" fillId="25" borderId="15" xfId="0" applyFont="1" applyFill="1" applyBorder="1" applyAlignment="1">
      <alignment horizontal="center" vertical="center" wrapText="1"/>
    </xf>
    <xf numFmtId="0" fontId="50" fillId="25" borderId="12" xfId="0" applyFont="1" applyFill="1" applyBorder="1" applyAlignment="1">
      <alignment horizontal="left" vertical="center" wrapText="1"/>
    </xf>
    <xf numFmtId="0" fontId="50" fillId="25" borderId="16" xfId="0" applyFont="1" applyFill="1" applyBorder="1" applyAlignment="1">
      <alignment horizontal="left" vertical="center" wrapText="1"/>
    </xf>
    <xf numFmtId="0" fontId="50" fillId="0" borderId="10" xfId="0" applyFont="1" applyBorder="1" applyAlignment="1">
      <alignment horizontal="center" vertical="center"/>
    </xf>
    <xf numFmtId="0" fontId="50" fillId="0" borderId="20" xfId="0" applyFont="1" applyBorder="1" applyAlignment="1">
      <alignment horizontal="center" vertical="center"/>
    </xf>
    <xf numFmtId="0" fontId="50" fillId="0" borderId="19" xfId="0" applyFont="1" applyBorder="1" applyAlignment="1">
      <alignment horizontal="center" vertical="center"/>
    </xf>
    <xf numFmtId="0" fontId="50" fillId="0" borderId="13" xfId="0" applyFont="1" applyBorder="1" applyAlignment="1">
      <alignment horizontal="center" vertical="center"/>
    </xf>
    <xf numFmtId="0" fontId="50" fillId="0" borderId="15" xfId="0" applyFont="1" applyBorder="1" applyAlignment="1">
      <alignment horizontal="center" vertical="center"/>
    </xf>
    <xf numFmtId="168" fontId="50" fillId="0" borderId="10" xfId="43" applyNumberFormat="1" applyFont="1" applyFill="1" applyBorder="1" applyAlignment="1">
      <alignment horizontal="center" vertical="center"/>
    </xf>
    <xf numFmtId="43" fontId="50" fillId="0" borderId="10" xfId="43" applyFont="1" applyFill="1" applyBorder="1" applyAlignment="1">
      <alignment horizontal="center" vertical="center"/>
    </xf>
    <xf numFmtId="169" fontId="50" fillId="0" borderId="10" xfId="43" applyNumberFormat="1" applyFont="1" applyFill="1" applyBorder="1" applyAlignment="1">
      <alignment horizontal="center" vertical="center"/>
    </xf>
    <xf numFmtId="10" fontId="62" fillId="25" borderId="12" xfId="0" applyNumberFormat="1" applyFont="1" applyFill="1" applyBorder="1" applyAlignment="1">
      <alignment horizontal="left" vertical="center" wrapText="1"/>
    </xf>
    <xf numFmtId="0" fontId="62" fillId="25" borderId="16" xfId="0" applyFont="1" applyFill="1" applyBorder="1" applyAlignment="1">
      <alignment horizontal="left" vertical="center" wrapText="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44" fontId="50" fillId="0" borderId="10" xfId="45" applyFont="1" applyFill="1" applyBorder="1" applyAlignment="1">
      <alignment horizontal="center" vertical="center"/>
    </xf>
    <xf numFmtId="0" fontId="41" fillId="0" borderId="21" xfId="0" applyFont="1" applyBorder="1" applyAlignment="1">
      <alignment horizontal="center" vertical="center"/>
    </xf>
    <xf numFmtId="0" fontId="41" fillId="0" borderId="0" xfId="0" applyFont="1" applyAlignment="1">
      <alignment horizontal="center" vertical="center"/>
    </xf>
    <xf numFmtId="0" fontId="41" fillId="0" borderId="22" xfId="0" applyFont="1" applyBorder="1" applyAlignment="1">
      <alignment horizontal="center" vertical="center"/>
    </xf>
    <xf numFmtId="0" fontId="41" fillId="0" borderId="13"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22" fillId="0" borderId="21" xfId="0" applyFont="1" applyBorder="1" applyAlignment="1">
      <alignment horizontal="center" vertical="center"/>
    </xf>
    <xf numFmtId="0" fontId="22" fillId="0" borderId="0" xfId="0" applyFont="1" applyAlignment="1">
      <alignment horizontal="center" vertical="center"/>
    </xf>
    <xf numFmtId="0" fontId="22" fillId="0" borderId="22" xfId="0" applyFont="1" applyBorder="1" applyAlignment="1">
      <alignment horizontal="center" vertical="center"/>
    </xf>
    <xf numFmtId="43" fontId="50" fillId="0" borderId="10" xfId="43" applyFont="1" applyFill="1" applyBorder="1" applyAlignment="1">
      <alignment horizontal="right" vertical="center"/>
    </xf>
    <xf numFmtId="0" fontId="49" fillId="0" borderId="0" xfId="0" applyFont="1" applyAlignment="1">
      <alignment horizontal="center" vertical="center"/>
    </xf>
    <xf numFmtId="43" fontId="50" fillId="0" borderId="12" xfId="43" applyFont="1" applyFill="1" applyBorder="1" applyAlignment="1">
      <alignment horizontal="right" vertical="center"/>
    </xf>
    <xf numFmtId="43" fontId="50" fillId="0" borderId="16" xfId="43" applyFont="1" applyFill="1" applyBorder="1" applyAlignment="1">
      <alignment horizontal="right" vertical="center"/>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3" fillId="0" borderId="10" xfId="0" applyFont="1" applyBorder="1" applyAlignment="1">
      <alignment horizontal="left" vertical="center"/>
    </xf>
    <xf numFmtId="0" fontId="3" fillId="0" borderId="10" xfId="0" applyFont="1" applyBorder="1" applyAlignment="1">
      <alignment horizontal="center" vertical="center"/>
    </xf>
    <xf numFmtId="0" fontId="0" fillId="24" borderId="10" xfId="0" applyFill="1" applyBorder="1" applyAlignment="1">
      <alignment horizontal="center"/>
    </xf>
    <xf numFmtId="10" fontId="42" fillId="25" borderId="0" xfId="0" applyNumberFormat="1" applyFont="1" applyFill="1" applyAlignment="1">
      <alignment horizontal="left" vertical="center" wrapText="1"/>
    </xf>
    <xf numFmtId="0" fontId="30" fillId="25" borderId="0" xfId="0" applyFont="1" applyFill="1" applyAlignment="1">
      <alignment horizontal="left"/>
    </xf>
    <xf numFmtId="0" fontId="30" fillId="25" borderId="22" xfId="0" applyFont="1" applyFill="1" applyBorder="1" applyAlignment="1">
      <alignment horizontal="left"/>
    </xf>
    <xf numFmtId="0" fontId="26" fillId="25" borderId="0" xfId="0" applyFont="1" applyFill="1" applyAlignment="1">
      <alignment horizontal="left"/>
    </xf>
    <xf numFmtId="0" fontId="26" fillId="25" borderId="22" xfId="0" applyFont="1" applyFill="1" applyBorder="1" applyAlignment="1">
      <alignment horizontal="left"/>
    </xf>
    <xf numFmtId="10" fontId="36" fillId="25" borderId="0" xfId="0" applyNumberFormat="1" applyFont="1" applyFill="1" applyAlignment="1">
      <alignment horizontal="left" vertical="center" wrapText="1"/>
    </xf>
    <xf numFmtId="0" fontId="3" fillId="0" borderId="21" xfId="0" applyFont="1" applyBorder="1" applyAlignment="1">
      <alignment horizontal="center"/>
    </xf>
    <xf numFmtId="0" fontId="3" fillId="0" borderId="0" xfId="0" applyFont="1" applyBorder="1" applyAlignment="1">
      <alignment horizontal="center"/>
    </xf>
    <xf numFmtId="0" fontId="3" fillId="0" borderId="22" xfId="0" applyFont="1" applyBorder="1" applyAlignment="1">
      <alignment horizontal="center"/>
    </xf>
    <xf numFmtId="10" fontId="36" fillId="25" borderId="0" xfId="0" applyNumberFormat="1" applyFont="1" applyFill="1" applyAlignment="1">
      <alignment horizontal="left" wrapText="1"/>
    </xf>
    <xf numFmtId="0" fontId="21" fillId="25" borderId="0" xfId="0" applyFont="1" applyFill="1" applyAlignment="1">
      <alignment horizontal="left"/>
    </xf>
    <xf numFmtId="0" fontId="21" fillId="25" borderId="22" xfId="0" applyFont="1" applyFill="1" applyBorder="1" applyAlignment="1">
      <alignment horizontal="left"/>
    </xf>
    <xf numFmtId="10" fontId="37" fillId="25" borderId="0" xfId="0" applyNumberFormat="1" applyFont="1" applyFill="1" applyAlignment="1">
      <alignment horizontal="left" wrapText="1"/>
    </xf>
    <xf numFmtId="10" fontId="37" fillId="25" borderId="22" xfId="0" applyNumberFormat="1" applyFont="1" applyFill="1" applyBorder="1" applyAlignment="1">
      <alignment horizontal="left" wrapText="1"/>
    </xf>
    <xf numFmtId="0" fontId="35" fillId="24" borderId="10" xfId="46" applyFont="1" applyFill="1" applyBorder="1" applyAlignment="1">
      <alignment horizontal="center" vertical="center"/>
    </xf>
    <xf numFmtId="0" fontId="25" fillId="24" borderId="10" xfId="46" applyFont="1" applyFill="1" applyBorder="1" applyAlignment="1">
      <alignment horizontal="center" vertical="center"/>
    </xf>
    <xf numFmtId="0" fontId="27" fillId="24" borderId="10" xfId="46" applyFont="1" applyFill="1" applyBorder="1" applyAlignment="1">
      <alignment horizontal="center"/>
    </xf>
    <xf numFmtId="0" fontId="21" fillId="0" borderId="10" xfId="46" applyFont="1" applyBorder="1" applyAlignment="1">
      <alignment horizontal="center" vertical="center"/>
    </xf>
    <xf numFmtId="0" fontId="26" fillId="0" borderId="10" xfId="46" applyFont="1" applyBorder="1" applyAlignment="1">
      <alignment horizontal="left" vertical="center"/>
    </xf>
    <xf numFmtId="0" fontId="36" fillId="25" borderId="0" xfId="0" applyFont="1" applyFill="1" applyAlignment="1">
      <alignment horizontal="left" vertical="center" wrapText="1"/>
    </xf>
    <xf numFmtId="0" fontId="36" fillId="25" borderId="22" xfId="0" applyFont="1" applyFill="1" applyBorder="1" applyAlignment="1">
      <alignment horizontal="left" vertical="center" wrapText="1"/>
    </xf>
    <xf numFmtId="164" fontId="26" fillId="0" borderId="10" xfId="33" applyNumberFormat="1" applyFont="1" applyFill="1" applyBorder="1" applyAlignment="1">
      <alignment horizontal="left" vertical="center"/>
    </xf>
    <xf numFmtId="0" fontId="21" fillId="0" borderId="20" xfId="0" applyFont="1" applyBorder="1" applyAlignment="1">
      <alignment horizontal="center"/>
    </xf>
    <xf numFmtId="0" fontId="21" fillId="0" borderId="18" xfId="0" applyFont="1" applyBorder="1" applyAlignment="1">
      <alignment horizontal="center"/>
    </xf>
    <xf numFmtId="0" fontId="21" fillId="0" borderId="19" xfId="0" applyFont="1" applyBorder="1" applyAlignment="1">
      <alignment horizontal="center"/>
    </xf>
    <xf numFmtId="0" fontId="26" fillId="0" borderId="12" xfId="0" applyFont="1" applyBorder="1" applyAlignment="1">
      <alignment horizontal="left" vertical="center"/>
    </xf>
    <xf numFmtId="0" fontId="26" fillId="0" borderId="17" xfId="0" applyFont="1" applyBorder="1" applyAlignment="1">
      <alignment horizontal="left" vertical="center"/>
    </xf>
    <xf numFmtId="0" fontId="26" fillId="0" borderId="16" xfId="0" applyFont="1" applyBorder="1" applyAlignment="1">
      <alignment horizontal="left"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50" fillId="0" borderId="12" xfId="0" applyFont="1" applyBorder="1" applyAlignment="1">
      <alignment horizontal="left" vertical="center"/>
    </xf>
    <xf numFmtId="0" fontId="50" fillId="0" borderId="17" xfId="0" applyFont="1" applyBorder="1" applyAlignment="1">
      <alignment horizontal="left" vertical="center"/>
    </xf>
    <xf numFmtId="0" fontId="50" fillId="0" borderId="16" xfId="0" applyFont="1" applyBorder="1" applyAlignment="1">
      <alignment horizontal="left" vertical="center"/>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6" xfId="0" applyFont="1" applyBorder="1" applyAlignment="1">
      <alignment horizontal="left" vertical="center" wrapText="1"/>
    </xf>
    <xf numFmtId="0" fontId="26" fillId="0" borderId="12" xfId="0" applyFont="1" applyBorder="1" applyAlignment="1">
      <alignment horizontal="left"/>
    </xf>
    <xf numFmtId="0" fontId="26" fillId="0" borderId="17" xfId="0" applyFont="1" applyBorder="1" applyAlignment="1">
      <alignment horizontal="left"/>
    </xf>
    <xf numFmtId="0" fontId="26" fillId="0" borderId="16" xfId="0" applyFont="1" applyBorder="1" applyAlignment="1">
      <alignment horizontal="left"/>
    </xf>
    <xf numFmtId="0" fontId="3" fillId="0" borderId="0" xfId="0" applyFont="1" applyAlignment="1">
      <alignment horizontal="center"/>
    </xf>
    <xf numFmtId="0" fontId="27" fillId="0" borderId="13" xfId="46" applyFont="1" applyBorder="1" applyAlignment="1">
      <alignment horizontal="center"/>
    </xf>
    <xf numFmtId="0" fontId="27" fillId="0" borderId="14" xfId="46" applyFont="1" applyBorder="1" applyAlignment="1">
      <alignment horizontal="center"/>
    </xf>
    <xf numFmtId="0" fontId="27" fillId="0" borderId="15" xfId="46" applyFont="1" applyBorder="1" applyAlignment="1">
      <alignment horizontal="center"/>
    </xf>
    <xf numFmtId="0" fontId="0" fillId="0" borderId="21" xfId="46" applyFont="1" applyBorder="1" applyAlignment="1">
      <alignment horizontal="center"/>
    </xf>
    <xf numFmtId="0" fontId="0" fillId="0" borderId="0" xfId="46" applyFont="1" applyAlignment="1">
      <alignment horizontal="center"/>
    </xf>
    <xf numFmtId="0" fontId="0" fillId="0" borderId="22" xfId="46" applyFont="1" applyBorder="1" applyAlignment="1">
      <alignment horizontal="center"/>
    </xf>
    <xf numFmtId="0" fontId="0" fillId="0" borderId="37" xfId="46" applyFont="1" applyBorder="1" applyAlignment="1">
      <alignment horizontal="center"/>
    </xf>
    <xf numFmtId="0" fontId="0" fillId="0" borderId="28" xfId="46" applyFont="1" applyBorder="1" applyAlignment="1">
      <alignment horizontal="center"/>
    </xf>
    <xf numFmtId="0" fontId="0" fillId="0" borderId="38" xfId="46" applyFont="1" applyBorder="1" applyAlignment="1">
      <alignment horizontal="center"/>
    </xf>
    <xf numFmtId="0" fontId="3" fillId="0" borderId="35" xfId="46" applyFont="1" applyBorder="1" applyAlignment="1">
      <alignment horizontal="center" vertical="center" wrapText="1"/>
    </xf>
    <xf numFmtId="0" fontId="3" fillId="0" borderId="26" xfId="46" applyFont="1" applyBorder="1" applyAlignment="1">
      <alignment horizontal="center" vertical="center" wrapText="1"/>
    </xf>
    <xf numFmtId="0" fontId="21" fillId="0" borderId="45" xfId="46" applyFont="1" applyBorder="1" applyAlignment="1">
      <alignment horizontal="center" vertical="center" wrapText="1"/>
    </xf>
    <xf numFmtId="0" fontId="3" fillId="0" borderId="21" xfId="46" applyFont="1" applyBorder="1" applyAlignment="1">
      <alignment horizontal="center" vertical="center"/>
    </xf>
    <xf numFmtId="0" fontId="3" fillId="0" borderId="0" xfId="46" applyFont="1" applyAlignment="1">
      <alignment horizontal="center" vertical="center"/>
    </xf>
    <xf numFmtId="0" fontId="3" fillId="0" borderId="22" xfId="46" applyFont="1" applyBorder="1" applyAlignment="1">
      <alignment horizontal="center" vertical="center"/>
    </xf>
    <xf numFmtId="0" fontId="3" fillId="0" borderId="21" xfId="46" applyFont="1" applyBorder="1" applyAlignment="1">
      <alignment horizontal="center"/>
    </xf>
    <xf numFmtId="0" fontId="3" fillId="0" borderId="0" xfId="46" applyFont="1" applyAlignment="1">
      <alignment horizontal="center"/>
    </xf>
    <xf numFmtId="0" fontId="3" fillId="0" borderId="22" xfId="46" applyFont="1" applyBorder="1" applyAlignment="1">
      <alignment horizontal="center"/>
    </xf>
    <xf numFmtId="0" fontId="3" fillId="0" borderId="39" xfId="46" applyFont="1" applyBorder="1" applyAlignment="1">
      <alignment horizontal="center"/>
    </xf>
    <xf numFmtId="0" fontId="3" fillId="0" borderId="27" xfId="46" applyFont="1" applyBorder="1" applyAlignment="1">
      <alignment horizontal="center"/>
    </xf>
    <xf numFmtId="0" fontId="3" fillId="0" borderId="40" xfId="46" applyFont="1" applyBorder="1" applyAlignment="1">
      <alignment horizontal="center"/>
    </xf>
    <xf numFmtId="0" fontId="58" fillId="0" borderId="0" xfId="0" applyFont="1" applyAlignment="1">
      <alignment horizontal="right" vertical="center"/>
    </xf>
    <xf numFmtId="0" fontId="59" fillId="0" borderId="0" xfId="0" applyFont="1" applyAlignment="1">
      <alignment horizontal="center"/>
    </xf>
    <xf numFmtId="0" fontId="58" fillId="0" borderId="0" xfId="0" applyFont="1" applyAlignment="1">
      <alignment horizontal="left" vertical="center"/>
    </xf>
    <xf numFmtId="0" fontId="58" fillId="0" borderId="0" xfId="0" applyFont="1" applyAlignment="1">
      <alignment horizontal="center" vertical="top"/>
    </xf>
    <xf numFmtId="0" fontId="21" fillId="0" borderId="12" xfId="0" applyFont="1" applyBorder="1" applyAlignment="1">
      <alignment horizontal="center"/>
    </xf>
    <xf numFmtId="0" fontId="21" fillId="0" borderId="17" xfId="0" applyFont="1" applyBorder="1" applyAlignment="1">
      <alignment horizontal="center"/>
    </xf>
    <xf numFmtId="0" fontId="21" fillId="0" borderId="16" xfId="0" applyFont="1" applyBorder="1" applyAlignment="1">
      <alignment horizontal="center"/>
    </xf>
    <xf numFmtId="0" fontId="21" fillId="0" borderId="21" xfId="0" applyFont="1" applyBorder="1" applyAlignment="1">
      <alignment horizontal="center" vertical="center" wrapText="1"/>
    </xf>
    <xf numFmtId="0" fontId="21" fillId="0" borderId="0" xfId="0" applyFont="1" applyAlignment="1">
      <alignment horizontal="center" vertical="center" wrapText="1"/>
    </xf>
    <xf numFmtId="0" fontId="21" fillId="0" borderId="22"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1" xfId="46" applyFont="1" applyBorder="1" applyAlignment="1">
      <alignment horizontal="center" vertical="top"/>
    </xf>
    <xf numFmtId="0" fontId="3" fillId="0" borderId="0" xfId="46" applyFont="1" applyAlignment="1">
      <alignment horizontal="center" vertical="top"/>
    </xf>
    <xf numFmtId="0" fontId="3" fillId="0" borderId="22" xfId="46" applyFont="1" applyBorder="1" applyAlignment="1">
      <alignment horizontal="center" vertical="top"/>
    </xf>
    <xf numFmtId="0" fontId="3" fillId="0" borderId="35" xfId="46" applyFont="1" applyBorder="1" applyAlignment="1">
      <alignment horizontal="left" vertical="center" wrapText="1"/>
    </xf>
    <xf numFmtId="0" fontId="3" fillId="0" borderId="26" xfId="46" applyFont="1" applyBorder="1" applyAlignment="1">
      <alignment horizontal="left" vertical="center" wrapText="1"/>
    </xf>
    <xf numFmtId="0" fontId="3" fillId="0" borderId="36" xfId="46" applyFont="1" applyBorder="1" applyAlignment="1">
      <alignment horizontal="left" vertical="center" wrapText="1"/>
    </xf>
    <xf numFmtId="0" fontId="3" fillId="0" borderId="37" xfId="46" applyFont="1" applyBorder="1" applyAlignment="1">
      <alignment horizontal="center" vertical="center" wrapText="1"/>
    </xf>
    <xf numFmtId="0" fontId="3" fillId="0" borderId="28" xfId="46" applyFont="1" applyBorder="1" applyAlignment="1">
      <alignment horizontal="center" vertical="center" wrapText="1"/>
    </xf>
    <xf numFmtId="0" fontId="3" fillId="0" borderId="38" xfId="46" applyFont="1" applyBorder="1" applyAlignment="1">
      <alignment horizontal="center" vertical="center" wrapText="1"/>
    </xf>
    <xf numFmtId="0" fontId="57" fillId="0" borderId="39" xfId="46" applyFont="1" applyBorder="1" applyAlignment="1">
      <alignment horizontal="center" vertical="top"/>
    </xf>
    <xf numFmtId="0" fontId="57" fillId="0" borderId="27" xfId="46" applyFont="1" applyBorder="1" applyAlignment="1">
      <alignment horizontal="center" vertical="top"/>
    </xf>
    <xf numFmtId="0" fontId="57" fillId="0" borderId="40" xfId="46" applyFont="1" applyBorder="1" applyAlignment="1">
      <alignment horizontal="center" vertical="top"/>
    </xf>
    <xf numFmtId="0" fontId="3" fillId="0" borderId="21" xfId="46" applyFont="1" applyBorder="1" applyAlignment="1">
      <alignment horizontal="center" vertical="center" wrapText="1"/>
    </xf>
    <xf numFmtId="0" fontId="3" fillId="0" borderId="0" xfId="46" applyFont="1" applyAlignment="1">
      <alignment horizontal="center" vertical="center" wrapText="1"/>
    </xf>
    <xf numFmtId="0" fontId="3" fillId="0" borderId="22" xfId="46" applyFont="1" applyBorder="1" applyAlignment="1">
      <alignment horizontal="center" vertical="center" wrapText="1"/>
    </xf>
    <xf numFmtId="0" fontId="21" fillId="0" borderId="12" xfId="48" applyFont="1" applyBorder="1" applyAlignment="1">
      <alignment horizontal="center" vertical="top"/>
    </xf>
    <xf numFmtId="0" fontId="21" fillId="0" borderId="17" xfId="48" applyFont="1" applyBorder="1" applyAlignment="1">
      <alignment horizontal="center" vertical="top"/>
    </xf>
    <xf numFmtId="0" fontId="21" fillId="0" borderId="16" xfId="48" applyFont="1" applyBorder="1" applyAlignment="1">
      <alignment horizontal="center" vertical="top"/>
    </xf>
    <xf numFmtId="0" fontId="23" fillId="0" borderId="10" xfId="0" applyFont="1" applyBorder="1" applyAlignment="1">
      <alignment horizontal="left" vertical="center"/>
    </xf>
    <xf numFmtId="164" fontId="21" fillId="0" borderId="10" xfId="33" applyNumberFormat="1" applyFont="1" applyFill="1" applyBorder="1" applyAlignment="1">
      <alignment horizontal="left" vertical="center"/>
    </xf>
    <xf numFmtId="0" fontId="21" fillId="0" borderId="33" xfId="46" applyFont="1" applyBorder="1" applyAlignment="1">
      <alignment horizontal="center"/>
    </xf>
    <xf numFmtId="0" fontId="21" fillId="0" borderId="24" xfId="46" applyFont="1" applyBorder="1" applyAlignment="1">
      <alignment horizontal="center"/>
    </xf>
    <xf numFmtId="0" fontId="21" fillId="0" borderId="34" xfId="46" applyFont="1" applyBorder="1" applyAlignment="1">
      <alignment horizontal="center"/>
    </xf>
    <xf numFmtId="0" fontId="3" fillId="0" borderId="30" xfId="46" applyFont="1" applyBorder="1" applyAlignment="1">
      <alignment horizontal="left" wrapText="1"/>
    </xf>
    <xf numFmtId="0" fontId="3" fillId="0" borderId="25" xfId="46" applyFont="1" applyBorder="1" applyAlignment="1">
      <alignment horizontal="left" wrapText="1"/>
    </xf>
    <xf numFmtId="10" fontId="3" fillId="0" borderId="41" xfId="46" applyNumberFormat="1" applyFont="1" applyBorder="1" applyAlignment="1" applyProtection="1">
      <alignment horizontal="center"/>
      <protection locked="0"/>
    </xf>
    <xf numFmtId="10" fontId="3" fillId="0" borderId="42" xfId="46" applyNumberFormat="1" applyFont="1" applyBorder="1" applyAlignment="1" applyProtection="1">
      <alignment horizontal="center"/>
      <protection locked="0"/>
    </xf>
    <xf numFmtId="0" fontId="3" fillId="0" borderId="31" xfId="46" applyFont="1" applyBorder="1" applyAlignment="1">
      <alignment horizontal="left"/>
    </xf>
    <xf numFmtId="0" fontId="3" fillId="0" borderId="29" xfId="46" applyFont="1" applyBorder="1" applyAlignment="1">
      <alignment horizontal="left"/>
    </xf>
    <xf numFmtId="0" fontId="3" fillId="0" borderId="20" xfId="46" applyFont="1" applyBorder="1" applyAlignment="1">
      <alignment horizontal="center"/>
    </xf>
    <xf numFmtId="0" fontId="3" fillId="0" borderId="18" xfId="46" applyFont="1" applyBorder="1" applyAlignment="1">
      <alignment horizontal="center"/>
    </xf>
    <xf numFmtId="0" fontId="3" fillId="0" borderId="19" xfId="46" applyFont="1" applyBorder="1" applyAlignment="1">
      <alignment horizontal="center"/>
    </xf>
    <xf numFmtId="0" fontId="21" fillId="0" borderId="16" xfId="0" applyFont="1" applyBorder="1" applyAlignment="1">
      <alignment horizontal="left" vertical="center" wrapText="1"/>
    </xf>
    <xf numFmtId="0" fontId="21" fillId="0" borderId="12" xfId="0" applyFont="1" applyBorder="1" applyAlignment="1">
      <alignment horizontal="left"/>
    </xf>
    <xf numFmtId="0" fontId="21" fillId="0" borderId="17" xfId="0" applyFont="1" applyBorder="1" applyAlignment="1">
      <alignment horizontal="left"/>
    </xf>
    <xf numFmtId="0" fontId="21" fillId="0" borderId="16" xfId="0" applyFont="1" applyBorder="1" applyAlignment="1">
      <alignment horizontal="left"/>
    </xf>
    <xf numFmtId="10" fontId="3" fillId="0" borderId="29" xfId="46" applyNumberFormat="1" applyFont="1" applyBorder="1" applyAlignment="1" applyProtection="1">
      <alignment horizontal="center"/>
      <protection locked="0"/>
    </xf>
    <xf numFmtId="10" fontId="3" fillId="0" borderId="32" xfId="46" applyNumberFormat="1" applyFont="1" applyBorder="1" applyAlignment="1" applyProtection="1">
      <alignment horizontal="center"/>
      <protection locked="0"/>
    </xf>
    <xf numFmtId="0" fontId="21" fillId="0" borderId="10" xfId="48" applyFont="1" applyBorder="1" applyAlignment="1">
      <alignment horizontal="center" vertical="top"/>
    </xf>
    <xf numFmtId="0" fontId="21" fillId="0" borderId="35" xfId="46" applyFont="1" applyBorder="1" applyAlignment="1">
      <alignment horizontal="center" vertical="center"/>
    </xf>
    <xf numFmtId="0" fontId="21" fillId="0" borderId="26" xfId="46" applyFont="1" applyBorder="1" applyAlignment="1">
      <alignment horizontal="center" vertical="center"/>
    </xf>
    <xf numFmtId="4" fontId="21" fillId="0" borderId="36" xfId="46" applyNumberFormat="1" applyFont="1" applyBorder="1" applyAlignment="1">
      <alignment horizontal="center" vertical="center" wrapText="1"/>
    </xf>
    <xf numFmtId="0" fontId="3" fillId="0" borderId="10" xfId="46" applyFont="1" applyBorder="1" applyAlignment="1">
      <alignment horizontal="center"/>
    </xf>
    <xf numFmtId="0" fontId="21" fillId="0" borderId="20" xfId="48" applyFont="1" applyBorder="1" applyAlignment="1">
      <alignment horizontal="center" vertical="top"/>
    </xf>
    <xf numFmtId="0" fontId="21" fillId="0" borderId="18" xfId="48" applyFont="1" applyBorder="1" applyAlignment="1">
      <alignment horizontal="center" vertical="top"/>
    </xf>
    <xf numFmtId="0" fontId="21" fillId="0" borderId="19" xfId="48" applyFont="1" applyBorder="1" applyAlignment="1">
      <alignment horizontal="center" vertical="top"/>
    </xf>
    <xf numFmtId="0" fontId="21" fillId="0" borderId="39" xfId="48" applyFont="1" applyBorder="1" applyAlignment="1">
      <alignment horizontal="center" vertical="top"/>
    </xf>
    <xf numFmtId="0" fontId="21" fillId="0" borderId="27" xfId="48" applyFont="1" applyBorder="1" applyAlignment="1">
      <alignment horizontal="center" vertical="top"/>
    </xf>
    <xf numFmtId="0" fontId="21" fillId="0" borderId="40" xfId="48" applyFont="1" applyBorder="1" applyAlignment="1">
      <alignment horizontal="center" vertical="top"/>
    </xf>
    <xf numFmtId="0" fontId="21" fillId="0" borderId="21" xfId="48" applyFont="1" applyBorder="1" applyAlignment="1">
      <alignment horizontal="center" vertical="top"/>
    </xf>
    <xf numFmtId="0" fontId="21" fillId="0" borderId="0" xfId="48" applyFont="1" applyAlignment="1">
      <alignment horizontal="center" vertical="top"/>
    </xf>
    <xf numFmtId="0" fontId="21" fillId="0" borderId="22" xfId="48" applyFont="1" applyBorder="1" applyAlignment="1">
      <alignment horizontal="center" vertical="top"/>
    </xf>
  </cellXfs>
  <cellStyles count="50">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Excel Built-in Currency" xfId="49" xr:uid="{E8C38068-033F-4BBF-ACD5-61FB76C4DFBD}"/>
    <cellStyle name="Moeda" xfId="45" builtinId="4"/>
    <cellStyle name="Neutro" xfId="31" builtinId="28" customBuiltin="1"/>
    <cellStyle name="Normal" xfId="0" builtinId="0"/>
    <cellStyle name="Normal 2" xfId="46" xr:uid="{00000000-0005-0000-0000-000021000000}"/>
    <cellStyle name="Normal_FICHA DE VERIFICAÇÃO PRELIMINAR - Plano R" xfId="48" xr:uid="{75B56A00-ACFE-4DD0-B912-4562A97F8ADF}"/>
    <cellStyle name="Nota" xfId="32" builtinId="10" customBuiltin="1"/>
    <cellStyle name="Porcentagem" xfId="33" builtinId="5"/>
    <cellStyle name="Ruim" xfId="30" builtinId="27" customBuiltin="1"/>
    <cellStyle name="Saída" xfId="34" builtinId="21" customBuiltin="1"/>
    <cellStyle name="Separador de milhares 2 2 2" xfId="47" xr:uid="{00000000-0005-0000-0000-000025000000}"/>
    <cellStyle name="Texto de Aviso" xfId="35" builtinId="11" customBuiltin="1"/>
    <cellStyle name="Texto Explicativo" xfId="36" builtinId="53" customBuiltin="1"/>
    <cellStyle name="Título" xfId="37" builtinId="15" customBuiltin="1"/>
    <cellStyle name="Título 1" xfId="38" builtinId="16" customBuiltin="1"/>
    <cellStyle name="Título 2" xfId="39" builtinId="17" customBuiltin="1"/>
    <cellStyle name="Título 3" xfId="40" builtinId="18" customBuiltin="1"/>
    <cellStyle name="Título 4" xfId="41" builtinId="19" customBuiltin="1"/>
    <cellStyle name="Total" xfId="42" builtinId="25" customBuiltin="1"/>
    <cellStyle name="Vírgula" xfId="44" builtinId="3"/>
    <cellStyle name="Vírgula 4" xfId="43" xr:uid="{00000000-0005-0000-0000-00002F000000}"/>
  </cellStyles>
  <dxfs count="1">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148263</xdr:rowOff>
    </xdr:from>
    <xdr:to>
      <xdr:col>2</xdr:col>
      <xdr:colOff>88446</xdr:colOff>
      <xdr:row>0</xdr:row>
      <xdr:rowOff>678187</xdr:rowOff>
    </xdr:to>
    <xdr:pic>
      <xdr:nvPicPr>
        <xdr:cNvPr id="3" name="Imagem 2" descr="logo colorida png final.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419100" y="148263"/>
          <a:ext cx="981075" cy="529924"/>
        </a:xfrm>
        <a:prstGeom prst="rect">
          <a:avLst/>
        </a:prstGeom>
      </xdr:spPr>
    </xdr:pic>
    <xdr:clientData/>
  </xdr:twoCellAnchor>
  <xdr:twoCellAnchor>
    <xdr:from>
      <xdr:col>3</xdr:col>
      <xdr:colOff>257175</xdr:colOff>
      <xdr:row>0</xdr:row>
      <xdr:rowOff>19050</xdr:rowOff>
    </xdr:from>
    <xdr:to>
      <xdr:col>8</xdr:col>
      <xdr:colOff>750358</xdr:colOff>
      <xdr:row>0</xdr:row>
      <xdr:rowOff>738716</xdr:rowOff>
    </xdr:to>
    <xdr:sp macro="" textlink="">
      <xdr:nvSpPr>
        <xdr:cNvPr id="5" name="Text Box 6">
          <a:extLst>
            <a:ext uri="{FF2B5EF4-FFF2-40B4-BE49-F238E27FC236}">
              <a16:creationId xmlns:a16="http://schemas.microsoft.com/office/drawing/2014/main" id="{00000000-0008-0000-0000-000005000000}"/>
            </a:ext>
          </a:extLst>
        </xdr:cNvPr>
        <xdr:cNvSpPr txBox="1">
          <a:spLocks noChangeArrowheads="1"/>
        </xdr:cNvSpPr>
      </xdr:nvSpPr>
      <xdr:spPr bwMode="auto">
        <a:xfrm>
          <a:off x="2028825" y="19050"/>
          <a:ext cx="7579783" cy="719666"/>
        </a:xfrm>
        <a:prstGeom prst="rect">
          <a:avLst/>
        </a:prstGeom>
        <a:noFill/>
        <a:ln w="9525">
          <a:noFill/>
          <a:miter lim="800000"/>
          <a:headEnd/>
          <a:tailEnd/>
        </a:ln>
      </xdr:spPr>
      <xdr:txBody>
        <a:bodyPr vertOverflow="clip" wrap="square" lIns="27432" tIns="22860" rIns="0" bIns="0" anchor="t" upright="1"/>
        <a:lstStyle/>
        <a:p>
          <a:pPr algn="ctr"/>
          <a:r>
            <a:rPr lang="pt-BR" sz="1100" b="1">
              <a:latin typeface="+mn-lt"/>
              <a:ea typeface="+mn-ea"/>
              <a:cs typeface="+mn-cs"/>
            </a:rPr>
            <a:t>DFT PROJETOS LTDA.</a:t>
          </a:r>
        </a:p>
        <a:p>
          <a:pPr algn="ctr"/>
          <a:r>
            <a:rPr lang="pt-BR" sz="1100" b="1">
              <a:latin typeface="+mn-lt"/>
              <a:ea typeface="+mn-ea"/>
              <a:cs typeface="+mn-cs"/>
            </a:rPr>
            <a:t>Rua Cel. Otávio Meyer, 160 - Centro - Pouso Alegre - MG – CEP: 37550-068     </a:t>
          </a:r>
        </a:p>
        <a:p>
          <a:pPr algn="ctr"/>
          <a:r>
            <a:rPr lang="pt-BR" sz="1100" b="1">
              <a:latin typeface="+mn-lt"/>
              <a:ea typeface="+mn-ea"/>
              <a:cs typeface="+mn-cs"/>
            </a:rPr>
            <a:t>(35) 3421-4650 / (35) 99808-6858 / (35) 99907-1010 </a:t>
          </a:r>
        </a:p>
        <a:p>
          <a:pPr algn="ctr"/>
          <a:r>
            <a:rPr lang="pt-BR" sz="1100" b="1" u="sng">
              <a:latin typeface="+mn-lt"/>
              <a:ea typeface="+mn-ea"/>
              <a:cs typeface="+mn-cs"/>
            </a:rPr>
            <a:t>dftprojetos@gmail.com </a:t>
          </a:r>
          <a:r>
            <a:rPr lang="pt-BR" sz="1100" b="1">
              <a:latin typeface="+mn-lt"/>
              <a:ea typeface="+mn-ea"/>
              <a:cs typeface="+mn-cs"/>
            </a:rPr>
            <a:t>| www.ftprojetos.eng.br</a:t>
          </a:r>
        </a:p>
        <a:p>
          <a:pPr algn="ctr"/>
          <a:endParaRPr lang="pt-BR">
            <a:effectLst/>
          </a:endParaRPr>
        </a:p>
        <a:p>
          <a:pPr algn="ctr"/>
          <a:endParaRPr lang="pt-BR" sz="110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524591</xdr:colOff>
      <xdr:row>0</xdr:row>
      <xdr:rowOff>183572</xdr:rowOff>
    </xdr:from>
    <xdr:to>
      <xdr:col>1</xdr:col>
      <xdr:colOff>1509339</xdr:colOff>
      <xdr:row>0</xdr:row>
      <xdr:rowOff>1108363</xdr:rowOff>
    </xdr:to>
    <xdr:pic>
      <xdr:nvPicPr>
        <xdr:cNvPr id="7" name="Imagem 6" descr="logo colorida png final.pn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stretch>
          <a:fillRect/>
        </a:stretch>
      </xdr:blipFill>
      <xdr:spPr>
        <a:xfrm>
          <a:off x="524591" y="183572"/>
          <a:ext cx="1712112" cy="924791"/>
        </a:xfrm>
        <a:prstGeom prst="rect">
          <a:avLst/>
        </a:prstGeom>
      </xdr:spPr>
    </xdr:pic>
    <xdr:clientData/>
  </xdr:twoCellAnchor>
  <xdr:twoCellAnchor>
    <xdr:from>
      <xdr:col>2</xdr:col>
      <xdr:colOff>431222</xdr:colOff>
      <xdr:row>0</xdr:row>
      <xdr:rowOff>167120</xdr:rowOff>
    </xdr:from>
    <xdr:to>
      <xdr:col>10</xdr:col>
      <xdr:colOff>1057755</xdr:colOff>
      <xdr:row>0</xdr:row>
      <xdr:rowOff>1506682</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3288722" y="167120"/>
          <a:ext cx="21269806" cy="1339562"/>
        </a:xfrm>
        <a:prstGeom prst="rect">
          <a:avLst/>
        </a:prstGeom>
        <a:noFill/>
        <a:ln w="9525">
          <a:noFill/>
          <a:miter lim="800000"/>
          <a:headEnd/>
          <a:tailEnd/>
        </a:ln>
      </xdr:spPr>
      <xdr:txBody>
        <a:bodyPr vertOverflow="clip" wrap="square" lIns="27432" tIns="22860" rIns="0" bIns="0" anchor="t" upright="1"/>
        <a:lstStyle/>
        <a:p>
          <a:pPr algn="ctr"/>
          <a:r>
            <a:rPr lang="pt-BR" sz="2000" b="1">
              <a:latin typeface="+mn-lt"/>
              <a:ea typeface="+mn-ea"/>
              <a:cs typeface="+mn-cs"/>
            </a:rPr>
            <a:t>DFT PROJETOS LTDA.</a:t>
          </a:r>
        </a:p>
        <a:p>
          <a:pPr algn="ctr"/>
          <a:r>
            <a:rPr lang="pt-BR" sz="2000" b="1">
              <a:latin typeface="+mn-lt"/>
              <a:ea typeface="+mn-ea"/>
              <a:cs typeface="+mn-cs"/>
            </a:rPr>
            <a:t>Rua Cel. Otávio Meyer, 160 - Centro - Pouso Alegre - MG – CEP: 37550-068     </a:t>
          </a:r>
        </a:p>
        <a:p>
          <a:pPr algn="ctr"/>
          <a:r>
            <a:rPr lang="pt-BR" sz="2000" b="1">
              <a:latin typeface="+mn-lt"/>
              <a:ea typeface="+mn-ea"/>
              <a:cs typeface="+mn-cs"/>
            </a:rPr>
            <a:t>(35) 3421-4650 / (35) 99808-6858 / (35) 99907-1010 </a:t>
          </a:r>
        </a:p>
        <a:p>
          <a:pPr algn="ctr"/>
          <a:r>
            <a:rPr lang="pt-BR" sz="2000" b="1" u="sng">
              <a:latin typeface="+mn-lt"/>
              <a:ea typeface="+mn-ea"/>
              <a:cs typeface="+mn-cs"/>
            </a:rPr>
            <a:t>dftprojetos@gmail.com</a:t>
          </a:r>
          <a:r>
            <a:rPr lang="pt-BR" sz="2000" b="1">
              <a:latin typeface="+mn-lt"/>
              <a:ea typeface="+mn-ea"/>
              <a:cs typeface="+mn-cs"/>
            </a:rPr>
            <a:t> | www.ftprojetos.eng.br</a:t>
          </a:r>
        </a:p>
        <a:p>
          <a:pPr algn="ctr"/>
          <a:endParaRPr lang="pt-BR" sz="1500">
            <a:effectLst/>
          </a:endParaRPr>
        </a:p>
        <a:p>
          <a:pPr algn="ctr"/>
          <a:endParaRPr lang="pt-BR" sz="1100">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19049</xdr:colOff>
      <xdr:row>0</xdr:row>
      <xdr:rowOff>76200</xdr:rowOff>
    </xdr:from>
    <xdr:to>
      <xdr:col>7</xdr:col>
      <xdr:colOff>762000</xdr:colOff>
      <xdr:row>0</xdr:row>
      <xdr:rowOff>790575</xdr:rowOff>
    </xdr:to>
    <xdr:sp macro="" textlink="">
      <xdr:nvSpPr>
        <xdr:cNvPr id="2" name="Text Box 6">
          <a:extLst>
            <a:ext uri="{FF2B5EF4-FFF2-40B4-BE49-F238E27FC236}">
              <a16:creationId xmlns:a16="http://schemas.microsoft.com/office/drawing/2014/main" id="{0EA88EB6-9E1B-4F44-B337-00B85E1D80A0}"/>
            </a:ext>
          </a:extLst>
        </xdr:cNvPr>
        <xdr:cNvSpPr txBox="1">
          <a:spLocks noChangeArrowheads="1"/>
        </xdr:cNvSpPr>
      </xdr:nvSpPr>
      <xdr:spPr bwMode="auto">
        <a:xfrm>
          <a:off x="3295649" y="76200"/>
          <a:ext cx="9734551" cy="714375"/>
        </a:xfrm>
        <a:prstGeom prst="rect">
          <a:avLst/>
        </a:prstGeom>
        <a:noFill/>
        <a:ln w="9525">
          <a:noFill/>
          <a:miter lim="800000"/>
          <a:headEnd/>
          <a:tailEnd/>
        </a:ln>
      </xdr:spPr>
      <xdr:txBody>
        <a:bodyPr vertOverflow="clip" wrap="square" lIns="27432" tIns="22860" rIns="0" bIns="0" anchor="t" upright="1"/>
        <a:lstStyle/>
        <a:p>
          <a:pPr algn="ctr"/>
          <a:r>
            <a:rPr lang="pt-BR" sz="1100" b="1">
              <a:latin typeface="+mn-lt"/>
              <a:ea typeface="+mn-ea"/>
              <a:cs typeface="+mn-cs"/>
            </a:rPr>
            <a:t>DFT PROJETOS LTDA.</a:t>
          </a:r>
        </a:p>
        <a:p>
          <a:pPr algn="ctr"/>
          <a:r>
            <a:rPr lang="pt-BR" sz="1100" b="1">
              <a:latin typeface="+mn-lt"/>
              <a:ea typeface="+mn-ea"/>
              <a:cs typeface="+mn-cs"/>
            </a:rPr>
            <a:t>Rua Cel. Otávio Meyer, 160 - Centro - Pouso Alegre - MG – CEP: 37550-068     </a:t>
          </a:r>
        </a:p>
        <a:p>
          <a:pPr algn="ctr"/>
          <a:r>
            <a:rPr lang="pt-BR" sz="1100" b="1">
              <a:latin typeface="+mn-lt"/>
              <a:ea typeface="+mn-ea"/>
              <a:cs typeface="+mn-cs"/>
            </a:rPr>
            <a:t>(35) 3421-4650 / (35) 99808-6858 / (35) 99907-1010 </a:t>
          </a:r>
        </a:p>
        <a:p>
          <a:pPr algn="ctr"/>
          <a:r>
            <a:rPr lang="pt-BR" sz="1100" b="1" u="sng">
              <a:latin typeface="+mn-lt"/>
              <a:ea typeface="+mn-ea"/>
              <a:cs typeface="+mn-cs"/>
              <a:hlinkClick xmlns:r="http://schemas.openxmlformats.org/officeDocument/2006/relationships" r:id=""/>
            </a:rPr>
            <a:t>dftprojetos@gmail.com.br</a:t>
          </a:r>
          <a:r>
            <a:rPr lang="pt-BR" sz="1100" b="1">
              <a:latin typeface="+mn-lt"/>
              <a:ea typeface="+mn-ea"/>
              <a:cs typeface="+mn-cs"/>
            </a:rPr>
            <a:t> | www.ftprojetos.eng.br</a:t>
          </a:r>
        </a:p>
        <a:p>
          <a:pPr algn="ctr"/>
          <a:endParaRPr lang="pt-BR">
            <a:effectLst/>
          </a:endParaRPr>
        </a:p>
        <a:p>
          <a:pPr algn="ctr"/>
          <a:endParaRPr lang="pt-BR" sz="1100">
            <a:effectLst/>
            <a:latin typeface="+mn-lt"/>
            <a:ea typeface="+mn-ea"/>
            <a:cs typeface="+mn-cs"/>
          </a:endParaRPr>
        </a:p>
      </xdr:txBody>
    </xdr:sp>
    <xdr:clientData/>
  </xdr:twoCellAnchor>
  <xdr:twoCellAnchor editAs="oneCell">
    <xdr:from>
      <xdr:col>0</xdr:col>
      <xdr:colOff>866775</xdr:colOff>
      <xdr:row>0</xdr:row>
      <xdr:rowOff>47625</xdr:rowOff>
    </xdr:from>
    <xdr:to>
      <xdr:col>2</xdr:col>
      <xdr:colOff>31020</xdr:colOff>
      <xdr:row>0</xdr:row>
      <xdr:rowOff>800100</xdr:rowOff>
    </xdr:to>
    <xdr:pic>
      <xdr:nvPicPr>
        <xdr:cNvPr id="4" name="Imagem 3" descr="logo colorida png final.png">
          <a:extLst>
            <a:ext uri="{FF2B5EF4-FFF2-40B4-BE49-F238E27FC236}">
              <a16:creationId xmlns:a16="http://schemas.microsoft.com/office/drawing/2014/main" id="{917ECCD7-8CB4-470B-8D8F-A5106B336332}"/>
            </a:ext>
          </a:extLst>
        </xdr:cNvPr>
        <xdr:cNvPicPr>
          <a:picLocks noChangeAspect="1"/>
        </xdr:cNvPicPr>
      </xdr:nvPicPr>
      <xdr:blipFill>
        <a:blip xmlns:r="http://schemas.openxmlformats.org/officeDocument/2006/relationships" r:embed="rId1" cstate="print"/>
        <a:stretch>
          <a:fillRect/>
        </a:stretch>
      </xdr:blipFill>
      <xdr:spPr>
        <a:xfrm>
          <a:off x="866775" y="47625"/>
          <a:ext cx="1393095" cy="752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123264</xdr:colOff>
      <xdr:row>0</xdr:row>
      <xdr:rowOff>100853</xdr:rowOff>
    </xdr:from>
    <xdr:to>
      <xdr:col>1</xdr:col>
      <xdr:colOff>499221</xdr:colOff>
      <xdr:row>0</xdr:row>
      <xdr:rowOff>630777</xdr:rowOff>
    </xdr:to>
    <xdr:pic>
      <xdr:nvPicPr>
        <xdr:cNvPr id="7" name="Imagem 6" descr="logo colorida png final.png">
          <a:extLst>
            <a:ext uri="{FF2B5EF4-FFF2-40B4-BE49-F238E27FC236}">
              <a16:creationId xmlns:a16="http://schemas.microsoft.com/office/drawing/2014/main" id="{B2DF8020-097B-4264-97F9-FAE2D060D7AE}"/>
            </a:ext>
          </a:extLst>
        </xdr:cNvPr>
        <xdr:cNvPicPr>
          <a:picLocks noChangeAspect="1"/>
        </xdr:cNvPicPr>
      </xdr:nvPicPr>
      <xdr:blipFill>
        <a:blip xmlns:r="http://schemas.openxmlformats.org/officeDocument/2006/relationships" r:embed="rId1" cstate="print"/>
        <a:stretch>
          <a:fillRect/>
        </a:stretch>
      </xdr:blipFill>
      <xdr:spPr>
        <a:xfrm>
          <a:off x="123264" y="100853"/>
          <a:ext cx="981075" cy="529924"/>
        </a:xfrm>
        <a:prstGeom prst="rect">
          <a:avLst/>
        </a:prstGeom>
      </xdr:spPr>
    </xdr:pic>
    <xdr:clientData/>
  </xdr:twoCellAnchor>
  <xdr:twoCellAnchor>
    <xdr:from>
      <xdr:col>2</xdr:col>
      <xdr:colOff>0</xdr:colOff>
      <xdr:row>0</xdr:row>
      <xdr:rowOff>0</xdr:rowOff>
    </xdr:from>
    <xdr:to>
      <xdr:col>12</xdr:col>
      <xdr:colOff>322169</xdr:colOff>
      <xdr:row>0</xdr:row>
      <xdr:rowOff>714375</xdr:rowOff>
    </xdr:to>
    <xdr:sp macro="" textlink="">
      <xdr:nvSpPr>
        <xdr:cNvPr id="8" name="Text Box 6">
          <a:extLst>
            <a:ext uri="{FF2B5EF4-FFF2-40B4-BE49-F238E27FC236}">
              <a16:creationId xmlns:a16="http://schemas.microsoft.com/office/drawing/2014/main" id="{353D96FE-3286-4B88-B96E-09D52E7381FF}"/>
            </a:ext>
          </a:extLst>
        </xdr:cNvPr>
        <xdr:cNvSpPr txBox="1">
          <a:spLocks noChangeArrowheads="1"/>
        </xdr:cNvSpPr>
      </xdr:nvSpPr>
      <xdr:spPr bwMode="auto">
        <a:xfrm>
          <a:off x="1210235" y="0"/>
          <a:ext cx="6429375" cy="714375"/>
        </a:xfrm>
        <a:prstGeom prst="rect">
          <a:avLst/>
        </a:prstGeom>
        <a:no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100" b="1" i="0" u="none" strike="noStrike" kern="0" cap="none" spc="0" normalizeH="0" baseline="0" noProof="0">
              <a:ln>
                <a:noFill/>
              </a:ln>
              <a:solidFill>
                <a:sysClr val="windowText" lastClr="000000"/>
              </a:solidFill>
              <a:effectLst/>
              <a:uLnTx/>
              <a:uFillTx/>
              <a:latin typeface="Calibri" panose="020F0502020204030204"/>
              <a:ea typeface="+mn-ea"/>
              <a:cs typeface="+mn-cs"/>
            </a:rPr>
            <a:t>DFT PROJETOS LTDA.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100" b="1" i="0" u="none" strike="noStrike" kern="0" cap="none" spc="0" normalizeH="0" baseline="0" noProof="0">
              <a:ln>
                <a:noFill/>
              </a:ln>
              <a:solidFill>
                <a:sysClr val="windowText" lastClr="000000"/>
              </a:solidFill>
              <a:effectLst/>
              <a:uLnTx/>
              <a:uFillTx/>
              <a:latin typeface="Calibri" panose="020F0502020204030204"/>
              <a:ea typeface="+mn-ea"/>
              <a:cs typeface="+mn-cs"/>
            </a:rPr>
            <a:t>Rua Cel. Otávio Meyer, 160 - Centro - Pouso Alegre - MG – CEP: 37550-068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100" b="1" i="0" u="none" strike="noStrike" kern="0" cap="none" spc="0" normalizeH="0" baseline="0" noProof="0">
              <a:ln>
                <a:noFill/>
              </a:ln>
              <a:solidFill>
                <a:sysClr val="windowText" lastClr="000000"/>
              </a:solidFill>
              <a:effectLst/>
              <a:uLnTx/>
              <a:uFillTx/>
              <a:latin typeface="Calibri" panose="020F0502020204030204"/>
              <a:ea typeface="+mn-ea"/>
              <a:cs typeface="+mn-cs"/>
            </a:rPr>
            <a:t>(35) 3421-4650 / (35) 99808-6858 / (35) 99907-1010 </a:t>
          </a:r>
        </a:p>
        <a:p>
          <a:pPr marL="0" marR="0" lvl="0" indent="0" algn="ctr" defTabSz="914400" eaLnBrk="1" fontAlgn="auto" latinLnBrk="0" hangingPunct="1">
            <a:lnSpc>
              <a:spcPct val="100000"/>
            </a:lnSpc>
            <a:spcBef>
              <a:spcPts val="0"/>
            </a:spcBef>
            <a:spcAft>
              <a:spcPts val="0"/>
            </a:spcAft>
            <a:buClrTx/>
            <a:buSzTx/>
            <a:buFontTx/>
            <a:buNone/>
            <a:tabLst/>
            <a:defRPr/>
          </a:pPr>
          <a:r>
            <a:rPr lang="pt-BR" sz="1100" b="1" u="sng">
              <a:latin typeface="+mn-lt"/>
              <a:ea typeface="+mn-ea"/>
              <a:cs typeface="+mn-cs"/>
            </a:rPr>
            <a:t>dftprojetos@gmail.com</a:t>
          </a:r>
          <a:r>
            <a:rPr kumimoji="0" lang="pt-BR" sz="1100" b="1" i="0" u="none" strike="noStrike" kern="0" cap="none" spc="0" normalizeH="0" baseline="0" noProof="0">
              <a:ln>
                <a:noFill/>
              </a:ln>
              <a:solidFill>
                <a:sysClr val="windowText" lastClr="000000"/>
              </a:solidFill>
              <a:effectLst/>
              <a:uLnTx/>
              <a:uFillTx/>
              <a:latin typeface="Calibri" panose="020F0502020204030204"/>
              <a:ea typeface="+mn-ea"/>
              <a:cs typeface="+mn-cs"/>
            </a:rPr>
            <a:t> | www.ftprojetos.eng.br</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noProof="0">
            <a:ln>
              <a:noFill/>
            </a:ln>
            <a:solidFill>
              <a:sysClr val="windowText" lastClr="000000"/>
            </a:solidFill>
            <a:effectLst/>
            <a:uLnTx/>
            <a:uFillTx/>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257175</xdr:colOff>
      <xdr:row>0</xdr:row>
      <xdr:rowOff>19050</xdr:rowOff>
    </xdr:from>
    <xdr:to>
      <xdr:col>8</xdr:col>
      <xdr:colOff>750358</xdr:colOff>
      <xdr:row>0</xdr:row>
      <xdr:rowOff>738716</xdr:rowOff>
    </xdr:to>
    <xdr:sp macro="" textlink="">
      <xdr:nvSpPr>
        <xdr:cNvPr id="3" name="Text Box 6">
          <a:extLst>
            <a:ext uri="{FF2B5EF4-FFF2-40B4-BE49-F238E27FC236}">
              <a16:creationId xmlns:a16="http://schemas.microsoft.com/office/drawing/2014/main" id="{17A4C74D-55B5-42DA-A871-843D3727CD5E}"/>
            </a:ext>
          </a:extLst>
        </xdr:cNvPr>
        <xdr:cNvSpPr txBox="1">
          <a:spLocks noChangeArrowheads="1"/>
        </xdr:cNvSpPr>
      </xdr:nvSpPr>
      <xdr:spPr bwMode="auto">
        <a:xfrm>
          <a:off x="2486025" y="19050"/>
          <a:ext cx="9018058" cy="719666"/>
        </a:xfrm>
        <a:prstGeom prst="rect">
          <a:avLst/>
        </a:prstGeom>
        <a:noFill/>
        <a:ln w="9525">
          <a:noFill/>
          <a:miter lim="800000"/>
          <a:headEnd/>
          <a:tailEnd/>
        </a:ln>
      </xdr:spPr>
      <xdr:txBody>
        <a:bodyPr vertOverflow="clip" wrap="square" lIns="27432" tIns="22860" rIns="0" bIns="0" anchor="t" upright="1"/>
        <a:lstStyle/>
        <a:p>
          <a:pPr algn="ctr"/>
          <a:r>
            <a:rPr lang="pt-BR" sz="1100" b="1">
              <a:latin typeface="+mn-lt"/>
              <a:ea typeface="+mn-ea"/>
              <a:cs typeface="+mn-cs"/>
            </a:rPr>
            <a:t>DFT PROJETOS LTDA.</a:t>
          </a:r>
        </a:p>
        <a:p>
          <a:pPr algn="ctr"/>
          <a:r>
            <a:rPr lang="pt-BR" sz="1100" b="1">
              <a:latin typeface="+mn-lt"/>
              <a:ea typeface="+mn-ea"/>
              <a:cs typeface="+mn-cs"/>
            </a:rPr>
            <a:t>Rua Cel. Otávio Meyer, 160 - Centro - Pouso Alegre - MG – CEP: 37550-068     </a:t>
          </a:r>
        </a:p>
        <a:p>
          <a:pPr algn="ctr"/>
          <a:r>
            <a:rPr lang="pt-BR" sz="1100" b="1">
              <a:latin typeface="+mn-lt"/>
              <a:ea typeface="+mn-ea"/>
              <a:cs typeface="+mn-cs"/>
            </a:rPr>
            <a:t>(35) 3421-4650 / (35) 99808-6858 / (35) 99907-1010 </a:t>
          </a:r>
        </a:p>
        <a:p>
          <a:pPr algn="ctr"/>
          <a:r>
            <a:rPr lang="pt-BR" sz="1100" b="1" u="sng">
              <a:latin typeface="+mn-lt"/>
              <a:ea typeface="+mn-ea"/>
              <a:cs typeface="+mn-cs"/>
            </a:rPr>
            <a:t>dftprojetos@gmail.com </a:t>
          </a:r>
          <a:r>
            <a:rPr lang="pt-BR" sz="1100" b="1">
              <a:latin typeface="+mn-lt"/>
              <a:ea typeface="+mn-ea"/>
              <a:cs typeface="+mn-cs"/>
            </a:rPr>
            <a:t>| www.ftprojetos.eng.br</a:t>
          </a:r>
        </a:p>
        <a:p>
          <a:pPr algn="ctr"/>
          <a:endParaRPr lang="pt-BR">
            <a:effectLst/>
          </a:endParaRPr>
        </a:p>
        <a:p>
          <a:pPr algn="ctr"/>
          <a:endParaRPr lang="pt-BR" sz="1100">
            <a:effectLst/>
            <a:latin typeface="+mn-lt"/>
            <a:ea typeface="+mn-ea"/>
            <a:cs typeface="+mn-cs"/>
          </a:endParaRPr>
        </a:p>
      </xdr:txBody>
    </xdr:sp>
    <xdr:clientData/>
  </xdr:twoCellAnchor>
  <xdr:twoCellAnchor editAs="oneCell">
    <xdr:from>
      <xdr:col>0</xdr:col>
      <xdr:colOff>247650</xdr:colOff>
      <xdr:row>0</xdr:row>
      <xdr:rowOff>57149</xdr:rowOff>
    </xdr:from>
    <xdr:to>
      <xdr:col>1</xdr:col>
      <xdr:colOff>630065</xdr:colOff>
      <xdr:row>0</xdr:row>
      <xdr:rowOff>752474</xdr:rowOff>
    </xdr:to>
    <xdr:pic>
      <xdr:nvPicPr>
        <xdr:cNvPr id="4" name="Imagem 3" descr="logo colorida png final.png">
          <a:extLst>
            <a:ext uri="{FF2B5EF4-FFF2-40B4-BE49-F238E27FC236}">
              <a16:creationId xmlns:a16="http://schemas.microsoft.com/office/drawing/2014/main" id="{8B54F78A-EA27-47A6-BA58-100ABA2776C2}"/>
            </a:ext>
          </a:extLst>
        </xdr:cNvPr>
        <xdr:cNvPicPr>
          <a:picLocks noChangeAspect="1"/>
        </xdr:cNvPicPr>
      </xdr:nvPicPr>
      <xdr:blipFill>
        <a:blip xmlns:r="http://schemas.openxmlformats.org/officeDocument/2006/relationships" r:embed="rId1" cstate="print"/>
        <a:stretch>
          <a:fillRect/>
        </a:stretch>
      </xdr:blipFill>
      <xdr:spPr>
        <a:xfrm>
          <a:off x="247650" y="57149"/>
          <a:ext cx="1287290" cy="6953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8"/>
  <sheetViews>
    <sheetView tabSelected="1" view="pageBreakPreview" zoomScale="70" zoomScaleNormal="70" zoomScaleSheetLayoutView="70" workbookViewId="0">
      <pane ySplit="9" topLeftCell="A31" activePane="bottomLeft" state="frozen"/>
      <selection pane="bottomLeft" activeCell="D33" sqref="D33"/>
    </sheetView>
  </sheetViews>
  <sheetFormatPr defaultRowHeight="12.75"/>
  <cols>
    <col min="1" max="1" width="8" style="10" customWidth="1"/>
    <col min="2" max="2" width="11.7109375" style="10" customWidth="1"/>
    <col min="3" max="3" width="13.7109375" style="10" customWidth="1"/>
    <col min="4" max="4" width="68.42578125" style="10" customWidth="1"/>
    <col min="5" max="8" width="14.85546875" style="10" customWidth="1"/>
    <col min="9" max="9" width="17.5703125" style="10" bestFit="1" customWidth="1"/>
    <col min="10" max="10" width="9.140625" style="10"/>
    <col min="11" max="12" width="16" style="10" bestFit="1" customWidth="1"/>
    <col min="13" max="13" width="16.42578125" style="10" bestFit="1" customWidth="1"/>
    <col min="14" max="16384" width="9.140625" style="10"/>
  </cols>
  <sheetData>
    <row r="1" spans="1:12" ht="63" customHeight="1">
      <c r="A1" s="316"/>
      <c r="B1" s="316"/>
      <c r="C1" s="316"/>
      <c r="D1" s="312"/>
      <c r="E1" s="312"/>
      <c r="F1" s="312"/>
      <c r="G1" s="312"/>
      <c r="H1" s="312"/>
      <c r="I1" s="312"/>
    </row>
    <row r="2" spans="1:12">
      <c r="A2" s="313" t="s">
        <v>28</v>
      </c>
      <c r="B2" s="313"/>
      <c r="C2" s="313"/>
      <c r="D2" s="313"/>
      <c r="E2" s="313"/>
      <c r="F2" s="313"/>
      <c r="G2" s="313"/>
      <c r="H2" s="313"/>
      <c r="I2" s="313"/>
    </row>
    <row r="3" spans="1:12">
      <c r="A3" s="314" t="s">
        <v>940</v>
      </c>
      <c r="B3" s="314"/>
      <c r="C3" s="314"/>
      <c r="D3" s="314"/>
      <c r="E3" s="314"/>
      <c r="F3" s="314"/>
      <c r="G3" s="314"/>
      <c r="H3" s="183" t="s">
        <v>364</v>
      </c>
      <c r="I3" s="183">
        <v>46003</v>
      </c>
    </row>
    <row r="4" spans="1:12">
      <c r="A4" s="315" t="s">
        <v>540</v>
      </c>
      <c r="B4" s="315"/>
      <c r="C4" s="315"/>
      <c r="D4" s="315"/>
      <c r="E4" s="315"/>
      <c r="F4" s="313" t="s">
        <v>13</v>
      </c>
      <c r="G4" s="313"/>
      <c r="H4" s="313"/>
      <c r="I4" s="313"/>
    </row>
    <row r="5" spans="1:12">
      <c r="A5" s="315" t="s">
        <v>541</v>
      </c>
      <c r="B5" s="315"/>
      <c r="C5" s="315"/>
      <c r="D5" s="315"/>
      <c r="E5" s="315"/>
      <c r="F5" s="313" t="s">
        <v>5</v>
      </c>
      <c r="G5" s="315" t="s">
        <v>3</v>
      </c>
      <c r="H5" s="8" t="s">
        <v>14</v>
      </c>
      <c r="I5" s="9" t="s">
        <v>4</v>
      </c>
    </row>
    <row r="6" spans="1:12" ht="12.75" customHeight="1">
      <c r="A6" s="317" t="s">
        <v>560</v>
      </c>
      <c r="B6" s="317"/>
      <c r="C6" s="317"/>
      <c r="D6" s="317"/>
      <c r="E6" s="317"/>
      <c r="F6" s="313"/>
      <c r="G6" s="315"/>
      <c r="H6" s="8" t="s">
        <v>11</v>
      </c>
      <c r="I6" s="4">
        <v>0.2354</v>
      </c>
    </row>
    <row r="7" spans="1:12">
      <c r="A7" s="3" t="s">
        <v>78</v>
      </c>
      <c r="B7" s="17"/>
      <c r="C7" s="17"/>
      <c r="D7" s="319">
        <f>I259</f>
        <v>786872.28</v>
      </c>
      <c r="E7" s="320"/>
      <c r="F7" s="320"/>
      <c r="G7" s="320"/>
      <c r="H7" s="76" t="s">
        <v>190</v>
      </c>
      <c r="I7" s="77">
        <v>0.28820000000000001</v>
      </c>
    </row>
    <row r="8" spans="1:12">
      <c r="A8" s="318"/>
      <c r="B8" s="318"/>
      <c r="C8" s="318"/>
      <c r="D8" s="318"/>
      <c r="E8" s="318"/>
      <c r="F8" s="318"/>
      <c r="G8" s="318"/>
      <c r="H8" s="318"/>
      <c r="I8" s="318"/>
    </row>
    <row r="9" spans="1:12" ht="38.25">
      <c r="A9" s="18" t="s">
        <v>0</v>
      </c>
      <c r="B9" s="18" t="s">
        <v>32</v>
      </c>
      <c r="C9" s="18" t="s">
        <v>2</v>
      </c>
      <c r="D9" s="18" t="s">
        <v>1</v>
      </c>
      <c r="E9" s="18" t="s">
        <v>6</v>
      </c>
      <c r="F9" s="18" t="s">
        <v>7</v>
      </c>
      <c r="G9" s="19" t="s">
        <v>15</v>
      </c>
      <c r="H9" s="19" t="s">
        <v>16</v>
      </c>
      <c r="I9" s="19" t="s">
        <v>17</v>
      </c>
    </row>
    <row r="10" spans="1:12" ht="16.5" customHeight="1">
      <c r="A10" s="20" t="s">
        <v>488</v>
      </c>
      <c r="B10" s="310" t="s">
        <v>25</v>
      </c>
      <c r="C10" s="310"/>
      <c r="D10" s="310"/>
      <c r="E10" s="310"/>
      <c r="F10" s="310"/>
      <c r="G10" s="311"/>
      <c r="H10" s="311"/>
      <c r="I10" s="21"/>
    </row>
    <row r="11" spans="1:12" s="1" customFormat="1" ht="66" customHeight="1">
      <c r="A11" s="190" t="s">
        <v>37</v>
      </c>
      <c r="B11" s="207" t="s">
        <v>678</v>
      </c>
      <c r="C11" s="190" t="s">
        <v>542</v>
      </c>
      <c r="D11" s="191" t="s">
        <v>543</v>
      </c>
      <c r="E11" s="22" t="s">
        <v>42</v>
      </c>
      <c r="F11" s="22">
        <f>'MEMORIA DE CÁLCULO'!M16</f>
        <v>4.5</v>
      </c>
      <c r="G11" s="52">
        <v>257.01</v>
      </c>
      <c r="H11" s="22">
        <f>G11*(1+$I$6)</f>
        <v>317.510154</v>
      </c>
      <c r="I11" s="22">
        <f>H11*F11</f>
        <v>1428.795693</v>
      </c>
    </row>
    <row r="12" spans="1:12" s="6" customFormat="1" ht="38.25">
      <c r="A12" s="190" t="s">
        <v>38</v>
      </c>
      <c r="B12" s="265" t="s">
        <v>678</v>
      </c>
      <c r="C12" s="265" t="s">
        <v>365</v>
      </c>
      <c r="D12" s="192" t="s">
        <v>366</v>
      </c>
      <c r="E12" s="32" t="s">
        <v>33</v>
      </c>
      <c r="F12" s="193">
        <f>'MEMORIA DE CÁLCULO'!M26</f>
        <v>102.42870000000001</v>
      </c>
      <c r="G12" s="193" t="s">
        <v>512</v>
      </c>
      <c r="H12" s="32">
        <f t="shared" ref="H12:H14" si="0">G12*(1+$I$6)</f>
        <v>82.623552000000004</v>
      </c>
      <c r="I12" s="32">
        <f t="shared" ref="I12:I14" si="1">H12*F12</f>
        <v>8463.0230207424011</v>
      </c>
    </row>
    <row r="13" spans="1:12" s="1" customFormat="1" ht="51">
      <c r="A13" s="190" t="s">
        <v>39</v>
      </c>
      <c r="B13" s="218" t="s">
        <v>678</v>
      </c>
      <c r="C13" s="190" t="s">
        <v>367</v>
      </c>
      <c r="D13" s="191" t="s">
        <v>368</v>
      </c>
      <c r="E13" s="22" t="s">
        <v>42</v>
      </c>
      <c r="F13" s="22">
        <f>'MEMORIA DE CÁLCULO'!M36</f>
        <v>93.346879999999999</v>
      </c>
      <c r="G13" s="52">
        <v>53.19</v>
      </c>
      <c r="H13" s="22">
        <f t="shared" si="0"/>
        <v>65.710926000000001</v>
      </c>
      <c r="I13" s="22">
        <f t="shared" si="1"/>
        <v>6133.9099240108799</v>
      </c>
    </row>
    <row r="14" spans="1:12" s="1" customFormat="1" ht="51">
      <c r="A14" s="190" t="s">
        <v>40</v>
      </c>
      <c r="B14" s="218" t="s">
        <v>678</v>
      </c>
      <c r="C14" s="190" t="s">
        <v>369</v>
      </c>
      <c r="D14" s="191" t="s">
        <v>370</v>
      </c>
      <c r="E14" s="22" t="s">
        <v>42</v>
      </c>
      <c r="F14" s="22">
        <f>'MEMORIA DE CÁLCULO'!M46</f>
        <v>8.8000000000000007</v>
      </c>
      <c r="G14" s="52">
        <v>140.54</v>
      </c>
      <c r="H14" s="22">
        <f t="shared" si="0"/>
        <v>173.62311600000001</v>
      </c>
      <c r="I14" s="22">
        <f t="shared" si="1"/>
        <v>1527.8834208000003</v>
      </c>
    </row>
    <row r="15" spans="1:12" s="1" customFormat="1" ht="14.25">
      <c r="A15" s="287" t="s">
        <v>61</v>
      </c>
      <c r="B15" s="288"/>
      <c r="C15" s="288"/>
      <c r="D15" s="288"/>
      <c r="E15" s="24" t="str">
        <f>A10</f>
        <v>1.</v>
      </c>
      <c r="F15" s="25" t="s">
        <v>50</v>
      </c>
      <c r="G15" s="289">
        <f>ROUND(SUM(I11:I14),2)</f>
        <v>17553.61</v>
      </c>
      <c r="H15" s="290"/>
      <c r="I15" s="7"/>
    </row>
    <row r="16" spans="1:12" s="6" customFormat="1" ht="15" customHeight="1">
      <c r="A16" s="18" t="s">
        <v>487</v>
      </c>
      <c r="B16" s="296" t="s">
        <v>225</v>
      </c>
      <c r="C16" s="297"/>
      <c r="D16" s="297"/>
      <c r="E16" s="297"/>
      <c r="F16" s="297"/>
      <c r="G16" s="297"/>
      <c r="H16" s="298"/>
      <c r="I16" s="31"/>
      <c r="L16" s="157"/>
    </row>
    <row r="17" spans="1:13" s="6" customFormat="1" ht="25.5">
      <c r="A17" s="210" t="s">
        <v>26</v>
      </c>
      <c r="B17" s="218" t="s">
        <v>678</v>
      </c>
      <c r="C17" s="210" t="s">
        <v>62</v>
      </c>
      <c r="D17" s="104" t="s">
        <v>612</v>
      </c>
      <c r="E17" s="32" t="s">
        <v>41</v>
      </c>
      <c r="F17" s="32">
        <f>'MEMORIA DE CÁLCULO'!M82</f>
        <v>37.523245000000003</v>
      </c>
      <c r="G17" s="52">
        <v>63.2</v>
      </c>
      <c r="H17" s="32">
        <f>G17*(1+$I$6)</f>
        <v>78.077280000000002</v>
      </c>
      <c r="I17" s="32">
        <f>H17*F17</f>
        <v>2929.7129063736002</v>
      </c>
    </row>
    <row r="18" spans="1:13" s="6" customFormat="1" ht="25.5">
      <c r="A18" s="271" t="s">
        <v>27</v>
      </c>
      <c r="B18" s="218" t="s">
        <v>678</v>
      </c>
      <c r="C18" s="210" t="s">
        <v>613</v>
      </c>
      <c r="D18" s="104" t="s">
        <v>614</v>
      </c>
      <c r="E18" s="32" t="s">
        <v>41</v>
      </c>
      <c r="F18" s="32">
        <f>'MEMORIA DE CÁLCULO'!M92</f>
        <v>19.723245000000002</v>
      </c>
      <c r="G18" s="52">
        <v>40.5</v>
      </c>
      <c r="H18" s="32">
        <f t="shared" ref="H18:H20" si="2">G18*(1+$I$6)</f>
        <v>50.033700000000003</v>
      </c>
      <c r="I18" s="32">
        <f t="shared" ref="I18:I20" si="3">H18*F18</f>
        <v>986.82692335650017</v>
      </c>
    </row>
    <row r="19" spans="1:13" s="6" customFormat="1" ht="38.25">
      <c r="A19" s="271" t="s">
        <v>76</v>
      </c>
      <c r="B19" s="256" t="s">
        <v>678</v>
      </c>
      <c r="C19" s="256" t="s">
        <v>227</v>
      </c>
      <c r="D19" s="192" t="s">
        <v>228</v>
      </c>
      <c r="E19" s="32" t="s">
        <v>229</v>
      </c>
      <c r="F19" s="193">
        <f>'MEMORIA DE CÁLCULO'!M108</f>
        <v>226.00498000000002</v>
      </c>
      <c r="G19" s="193">
        <v>2.5499999999999998</v>
      </c>
      <c r="H19" s="32">
        <f t="shared" si="2"/>
        <v>3.1502699999999999</v>
      </c>
      <c r="I19" s="32">
        <f t="shared" si="3"/>
        <v>711.97670834460007</v>
      </c>
    </row>
    <row r="20" spans="1:13" s="6" customFormat="1" ht="23.25" customHeight="1">
      <c r="A20" s="271" t="s">
        <v>493</v>
      </c>
      <c r="B20" s="256" t="s">
        <v>678</v>
      </c>
      <c r="C20" s="256" t="s">
        <v>491</v>
      </c>
      <c r="D20" s="104" t="s">
        <v>492</v>
      </c>
      <c r="E20" s="32" t="s">
        <v>41</v>
      </c>
      <c r="F20" s="32">
        <f>'MEMORIA DE CÁLCULO'!M124</f>
        <v>86.302490000000006</v>
      </c>
      <c r="G20" s="193">
        <v>2.92</v>
      </c>
      <c r="H20" s="32">
        <f t="shared" si="2"/>
        <v>3.6073680000000001</v>
      </c>
      <c r="I20" s="32">
        <f t="shared" si="3"/>
        <v>311.32484074632004</v>
      </c>
    </row>
    <row r="21" spans="1:13" s="1" customFormat="1" ht="14.25">
      <c r="A21" s="287" t="s">
        <v>61</v>
      </c>
      <c r="B21" s="288"/>
      <c r="C21" s="288"/>
      <c r="D21" s="288"/>
      <c r="E21" s="24" t="str">
        <f>A16</f>
        <v>2.</v>
      </c>
      <c r="F21" s="25" t="s">
        <v>50</v>
      </c>
      <c r="G21" s="289">
        <f>ROUND(SUM(I17:I20),2)</f>
        <v>4939.84</v>
      </c>
      <c r="H21" s="290"/>
      <c r="I21" s="7"/>
    </row>
    <row r="22" spans="1:13" s="1" customFormat="1" ht="15" customHeight="1">
      <c r="A22" s="20" t="s">
        <v>486</v>
      </c>
      <c r="B22" s="310" t="s">
        <v>481</v>
      </c>
      <c r="C22" s="310"/>
      <c r="D22" s="310"/>
      <c r="E22" s="310"/>
      <c r="F22" s="310"/>
      <c r="G22" s="311"/>
      <c r="H22" s="311"/>
      <c r="I22" s="26"/>
      <c r="M22" s="15"/>
    </row>
    <row r="23" spans="1:13" s="1" customFormat="1" ht="14.25">
      <c r="A23" s="27" t="s">
        <v>36</v>
      </c>
      <c r="B23" s="27"/>
      <c r="C23" s="28" t="s">
        <v>371</v>
      </c>
      <c r="D23" s="29"/>
      <c r="E23" s="30"/>
      <c r="F23" s="30"/>
      <c r="G23" s="30"/>
      <c r="H23" s="30"/>
      <c r="I23" s="30"/>
    </row>
    <row r="24" spans="1:13" s="1" customFormat="1" ht="38.25" customHeight="1">
      <c r="A24" s="23" t="s">
        <v>84</v>
      </c>
      <c r="B24" s="218" t="s">
        <v>678</v>
      </c>
      <c r="C24" s="188" t="s">
        <v>372</v>
      </c>
      <c r="D24" s="192" t="s">
        <v>373</v>
      </c>
      <c r="E24" s="32" t="s">
        <v>44</v>
      </c>
      <c r="F24" s="22">
        <f>'MEMORIA DE CÁLCULO'!M135</f>
        <v>1</v>
      </c>
      <c r="G24" s="52">
        <v>3664.78</v>
      </c>
      <c r="H24" s="22">
        <f>G24*(1+$I$6)</f>
        <v>4527.4692120000009</v>
      </c>
      <c r="I24" s="22">
        <f>H24*F24</f>
        <v>4527.4692120000009</v>
      </c>
    </row>
    <row r="25" spans="1:13" s="1" customFormat="1" ht="38.25">
      <c r="A25" s="23" t="s">
        <v>85</v>
      </c>
      <c r="B25" s="218" t="s">
        <v>678</v>
      </c>
      <c r="C25" s="188" t="s">
        <v>374</v>
      </c>
      <c r="D25" s="192" t="s">
        <v>375</v>
      </c>
      <c r="E25" s="32" t="s">
        <v>316</v>
      </c>
      <c r="F25" s="22">
        <f>'MEMORIA DE CÁLCULO'!M142</f>
        <v>10</v>
      </c>
      <c r="G25" s="52">
        <v>21</v>
      </c>
      <c r="H25" s="22">
        <f t="shared" ref="H25:H28" si="4">G25*(1+$I$6)</f>
        <v>25.9434</v>
      </c>
      <c r="I25" s="22">
        <f t="shared" ref="I25:I28" si="5">H25*F25</f>
        <v>259.43400000000003</v>
      </c>
    </row>
    <row r="26" spans="1:13" s="1" customFormat="1" ht="39" customHeight="1">
      <c r="A26" s="23" t="s">
        <v>86</v>
      </c>
      <c r="B26" s="218" t="s">
        <v>678</v>
      </c>
      <c r="C26" s="188" t="s">
        <v>376</v>
      </c>
      <c r="D26" s="192" t="s">
        <v>377</v>
      </c>
      <c r="E26" s="32" t="s">
        <v>41</v>
      </c>
      <c r="F26" s="22">
        <f>'MEMORIA DE CÁLCULO'!M149</f>
        <v>23.059375000000003</v>
      </c>
      <c r="G26" s="52">
        <v>86.37</v>
      </c>
      <c r="H26" s="22">
        <f t="shared" si="4"/>
        <v>106.70149800000002</v>
      </c>
      <c r="I26" s="22">
        <f t="shared" si="5"/>
        <v>2460.4698554437505</v>
      </c>
    </row>
    <row r="27" spans="1:13" s="1" customFormat="1" ht="15" customHeight="1">
      <c r="A27" s="23" t="s">
        <v>444</v>
      </c>
      <c r="B27" s="218" t="s">
        <v>678</v>
      </c>
      <c r="C27" s="190" t="s">
        <v>59</v>
      </c>
      <c r="D27" s="191" t="s">
        <v>60</v>
      </c>
      <c r="E27" s="22" t="s">
        <v>43</v>
      </c>
      <c r="F27" s="194">
        <f>'MEMORIA DE CÁLCULO'!M162</f>
        <v>2827.7749279999998</v>
      </c>
      <c r="G27" s="52">
        <v>11.3</v>
      </c>
      <c r="H27" s="22">
        <f t="shared" si="4"/>
        <v>13.960020000000002</v>
      </c>
      <c r="I27" s="22">
        <f t="shared" si="5"/>
        <v>39475.79455037856</v>
      </c>
    </row>
    <row r="28" spans="1:13" s="1" customFormat="1" ht="24.95" customHeight="1">
      <c r="A28" s="23" t="s">
        <v>445</v>
      </c>
      <c r="B28" s="237" t="s">
        <v>678</v>
      </c>
      <c r="C28" s="23" t="s">
        <v>57</v>
      </c>
      <c r="D28" s="195" t="s">
        <v>378</v>
      </c>
      <c r="E28" s="22" t="s">
        <v>41</v>
      </c>
      <c r="F28" s="22">
        <f>'MEMORIA DE CÁLCULO'!M169</f>
        <v>22.137</v>
      </c>
      <c r="G28" s="52">
        <v>709.22</v>
      </c>
      <c r="H28" s="22">
        <f t="shared" si="4"/>
        <v>876.17038800000012</v>
      </c>
      <c r="I28" s="22">
        <f t="shared" si="5"/>
        <v>19395.783879156003</v>
      </c>
    </row>
    <row r="29" spans="1:13" s="1" customFormat="1" ht="14.25">
      <c r="A29" s="287" t="s">
        <v>61</v>
      </c>
      <c r="B29" s="288"/>
      <c r="C29" s="288"/>
      <c r="D29" s="288"/>
      <c r="E29" s="24" t="str">
        <f>A23</f>
        <v>3.1</v>
      </c>
      <c r="F29" s="25" t="s">
        <v>50</v>
      </c>
      <c r="G29" s="289">
        <f>ROUND(SUM(I24:I28),2)</f>
        <v>66118.95</v>
      </c>
      <c r="H29" s="290"/>
      <c r="I29" s="7"/>
    </row>
    <row r="30" spans="1:13" s="1" customFormat="1" ht="14.25">
      <c r="A30" s="27" t="s">
        <v>75</v>
      </c>
      <c r="B30" s="27"/>
      <c r="C30" s="28" t="s">
        <v>79</v>
      </c>
      <c r="D30" s="29"/>
      <c r="E30" s="30"/>
      <c r="F30" s="30"/>
      <c r="G30" s="30"/>
      <c r="H30" s="30"/>
      <c r="I30" s="30"/>
    </row>
    <row r="31" spans="1:13" s="1" customFormat="1" ht="24.95" customHeight="1">
      <c r="A31" s="23" t="s">
        <v>88</v>
      </c>
      <c r="B31" s="237" t="s">
        <v>678</v>
      </c>
      <c r="C31" s="23" t="s">
        <v>57</v>
      </c>
      <c r="D31" s="195" t="s">
        <v>58</v>
      </c>
      <c r="E31" s="22" t="s">
        <v>41</v>
      </c>
      <c r="F31" s="22">
        <f>'MEMORIA DE CÁLCULO'!M181</f>
        <v>8.91</v>
      </c>
      <c r="G31" s="52">
        <v>709.22</v>
      </c>
      <c r="H31" s="22">
        <f t="shared" ref="H31" si="6">G31*(1+$I$6)</f>
        <v>876.17038800000012</v>
      </c>
      <c r="I31" s="22">
        <f t="shared" ref="I31" si="7">H31*F31</f>
        <v>7806.6781570800013</v>
      </c>
    </row>
    <row r="32" spans="1:13" s="1" customFormat="1" ht="24.95" customHeight="1">
      <c r="A32" s="23" t="s">
        <v>89</v>
      </c>
      <c r="B32" s="218" t="s">
        <v>678</v>
      </c>
      <c r="C32" s="23" t="s">
        <v>63</v>
      </c>
      <c r="D32" s="195" t="s">
        <v>64</v>
      </c>
      <c r="E32" s="22" t="s">
        <v>42</v>
      </c>
      <c r="F32" s="22">
        <f>'MEMORIA DE CÁLCULO'!M191</f>
        <v>59.36</v>
      </c>
      <c r="G32" s="52">
        <v>57.76</v>
      </c>
      <c r="H32" s="22">
        <f t="shared" ref="H32:H35" si="8">G32*(1+$I$6)</f>
        <v>71.356704000000008</v>
      </c>
      <c r="I32" s="22">
        <f t="shared" ref="I32:I35" si="9">H32*F32</f>
        <v>4235.7339494400003</v>
      </c>
    </row>
    <row r="33" spans="1:9" s="1" customFormat="1" ht="15" customHeight="1">
      <c r="A33" s="23" t="s">
        <v>90</v>
      </c>
      <c r="B33" s="218" t="s">
        <v>678</v>
      </c>
      <c r="C33" s="190" t="s">
        <v>59</v>
      </c>
      <c r="D33" s="191" t="s">
        <v>60</v>
      </c>
      <c r="E33" s="22" t="s">
        <v>43</v>
      </c>
      <c r="F33" s="22">
        <f>'MEMORIA DE CÁLCULO'!M201</f>
        <v>223.7</v>
      </c>
      <c r="G33" s="52">
        <v>11.3</v>
      </c>
      <c r="H33" s="22">
        <f t="shared" si="8"/>
        <v>13.960020000000002</v>
      </c>
      <c r="I33" s="22">
        <f t="shared" si="9"/>
        <v>3122.8564740000002</v>
      </c>
    </row>
    <row r="34" spans="1:9" s="1" customFormat="1" ht="15" customHeight="1">
      <c r="A34" s="23" t="s">
        <v>446</v>
      </c>
      <c r="B34" s="218" t="s">
        <v>678</v>
      </c>
      <c r="C34" s="23" t="s">
        <v>65</v>
      </c>
      <c r="D34" s="195" t="s">
        <v>66</v>
      </c>
      <c r="E34" s="22" t="s">
        <v>42</v>
      </c>
      <c r="F34" s="22">
        <f>'MEMORIA DE CÁLCULO'!M229</f>
        <v>32.255499999999998</v>
      </c>
      <c r="G34" s="52">
        <v>12.06</v>
      </c>
      <c r="H34" s="22">
        <f t="shared" si="8"/>
        <v>14.898924000000001</v>
      </c>
      <c r="I34" s="22">
        <f t="shared" si="9"/>
        <v>480.572243082</v>
      </c>
    </row>
    <row r="35" spans="1:9" s="1" customFormat="1" ht="25.5">
      <c r="A35" s="23" t="s">
        <v>447</v>
      </c>
      <c r="B35" s="218" t="s">
        <v>678</v>
      </c>
      <c r="C35" s="23" t="s">
        <v>938</v>
      </c>
      <c r="D35" s="195" t="s">
        <v>939</v>
      </c>
      <c r="E35" s="22" t="s">
        <v>41</v>
      </c>
      <c r="F35" s="22">
        <f>'MEMORIA DE CÁLCULO'!M257</f>
        <v>0.80971499999999996</v>
      </c>
      <c r="G35" s="52">
        <v>194.44</v>
      </c>
      <c r="H35" s="22">
        <f t="shared" si="8"/>
        <v>240.21117599999999</v>
      </c>
      <c r="I35" s="22">
        <f t="shared" si="9"/>
        <v>194.50259237483999</v>
      </c>
    </row>
    <row r="36" spans="1:9" s="1" customFormat="1" ht="14.25">
      <c r="A36" s="287" t="s">
        <v>61</v>
      </c>
      <c r="B36" s="288"/>
      <c r="C36" s="288"/>
      <c r="D36" s="288"/>
      <c r="E36" s="24" t="str">
        <f>A30</f>
        <v>3.2</v>
      </c>
      <c r="F36" s="25" t="s">
        <v>50</v>
      </c>
      <c r="G36" s="289">
        <f>ROUND(SUM(I31:I35),2)</f>
        <v>15840.34</v>
      </c>
      <c r="H36" s="290"/>
      <c r="I36" s="7"/>
    </row>
    <row r="37" spans="1:9" s="1" customFormat="1" ht="14.25">
      <c r="A37" s="27" t="s">
        <v>77</v>
      </c>
      <c r="B37" s="27"/>
      <c r="C37" s="28" t="s">
        <v>67</v>
      </c>
      <c r="D37" s="29"/>
      <c r="E37" s="30"/>
      <c r="F37" s="30"/>
      <c r="G37" s="30"/>
      <c r="H37" s="30"/>
      <c r="I37" s="30"/>
    </row>
    <row r="38" spans="1:9" s="1" customFormat="1" ht="38.25">
      <c r="A38" s="23" t="s">
        <v>92</v>
      </c>
      <c r="B38" s="262" t="s">
        <v>678</v>
      </c>
      <c r="C38" s="23" t="s">
        <v>57</v>
      </c>
      <c r="D38" s="195" t="s">
        <v>58</v>
      </c>
      <c r="E38" s="22" t="s">
        <v>41</v>
      </c>
      <c r="F38" s="22">
        <f>'MEMORIA DE CÁLCULO'!M269</f>
        <v>8.89</v>
      </c>
      <c r="G38" s="52">
        <v>709.22</v>
      </c>
      <c r="H38" s="22">
        <f t="shared" ref="H38" si="10">G38*(1+$I$6)</f>
        <v>876.17038800000012</v>
      </c>
      <c r="I38" s="22">
        <f t="shared" ref="I38" si="11">H38*F38</f>
        <v>7789.1547493200014</v>
      </c>
    </row>
    <row r="39" spans="1:9" s="1" customFormat="1" ht="25.5">
      <c r="A39" s="23" t="s">
        <v>93</v>
      </c>
      <c r="B39" s="218" t="s">
        <v>678</v>
      </c>
      <c r="C39" s="23" t="s">
        <v>63</v>
      </c>
      <c r="D39" s="195" t="s">
        <v>64</v>
      </c>
      <c r="E39" s="22" t="s">
        <v>42</v>
      </c>
      <c r="F39" s="22">
        <f>'MEMORIA DE CÁLCULO'!M279</f>
        <v>116.84</v>
      </c>
      <c r="G39" s="52">
        <v>57.76</v>
      </c>
      <c r="H39" s="22">
        <f t="shared" ref="H39:H42" si="12">G39*(1+$I$6)</f>
        <v>71.356704000000008</v>
      </c>
      <c r="I39" s="22">
        <f t="shared" ref="I39:I42" si="13">H39*F39</f>
        <v>8337.3172953600006</v>
      </c>
    </row>
    <row r="40" spans="1:9" s="1" customFormat="1" ht="14.25">
      <c r="A40" s="23" t="s">
        <v>130</v>
      </c>
      <c r="B40" s="218" t="s">
        <v>678</v>
      </c>
      <c r="C40" s="23" t="s">
        <v>59</v>
      </c>
      <c r="D40" s="196" t="s">
        <v>60</v>
      </c>
      <c r="E40" s="22" t="s">
        <v>43</v>
      </c>
      <c r="F40" s="22">
        <f>'MEMORIA DE CÁLCULO'!M289</f>
        <v>412</v>
      </c>
      <c r="G40" s="52">
        <v>11.3</v>
      </c>
      <c r="H40" s="22">
        <f t="shared" si="12"/>
        <v>13.960020000000002</v>
      </c>
      <c r="I40" s="22">
        <f t="shared" si="13"/>
        <v>5751.5282400000006</v>
      </c>
    </row>
    <row r="41" spans="1:9" s="1" customFormat="1" ht="14.25">
      <c r="A41" s="23" t="s">
        <v>154</v>
      </c>
      <c r="B41" s="218" t="s">
        <v>678</v>
      </c>
      <c r="C41" s="23" t="s">
        <v>65</v>
      </c>
      <c r="D41" s="195" t="s">
        <v>66</v>
      </c>
      <c r="E41" s="22" t="s">
        <v>42</v>
      </c>
      <c r="F41" s="22">
        <f>'MEMORIA DE CÁLCULO'!M299</f>
        <v>62.866199999999992</v>
      </c>
      <c r="G41" s="52">
        <v>12.06</v>
      </c>
      <c r="H41" s="22">
        <f t="shared" si="12"/>
        <v>14.898924000000001</v>
      </c>
      <c r="I41" s="22">
        <f t="shared" si="13"/>
        <v>936.63873596879989</v>
      </c>
    </row>
    <row r="42" spans="1:9" s="1" customFormat="1" ht="25.5">
      <c r="A42" s="23" t="s">
        <v>155</v>
      </c>
      <c r="B42" s="273" t="s">
        <v>678</v>
      </c>
      <c r="C42" s="23" t="s">
        <v>938</v>
      </c>
      <c r="D42" s="195" t="s">
        <v>939</v>
      </c>
      <c r="E42" s="22" t="s">
        <v>41</v>
      </c>
      <c r="F42" s="22">
        <f>'MEMORIA DE CÁLCULO'!M309</f>
        <v>1.2573240000000001</v>
      </c>
      <c r="G42" s="52">
        <v>194.44</v>
      </c>
      <c r="H42" s="22">
        <f t="shared" si="12"/>
        <v>240.21117599999999</v>
      </c>
      <c r="I42" s="22">
        <f t="shared" si="13"/>
        <v>302.02327665302403</v>
      </c>
    </row>
    <row r="43" spans="1:9" s="1" customFormat="1" ht="14.25">
      <c r="A43" s="287" t="s">
        <v>61</v>
      </c>
      <c r="B43" s="288"/>
      <c r="C43" s="288"/>
      <c r="D43" s="288"/>
      <c r="E43" s="24" t="str">
        <f>A37</f>
        <v>3.3</v>
      </c>
      <c r="F43" s="25" t="s">
        <v>50</v>
      </c>
      <c r="G43" s="289">
        <f>ROUND(SUM(I38:I42),2)</f>
        <v>23116.66</v>
      </c>
      <c r="H43" s="290"/>
      <c r="I43" s="7"/>
    </row>
    <row r="44" spans="1:9" s="1" customFormat="1" ht="14.25">
      <c r="A44" s="287" t="s">
        <v>61</v>
      </c>
      <c r="B44" s="288"/>
      <c r="C44" s="288"/>
      <c r="D44" s="288"/>
      <c r="E44" s="24" t="str">
        <f>A22</f>
        <v>3.</v>
      </c>
      <c r="F44" s="25" t="s">
        <v>50</v>
      </c>
      <c r="G44" s="289">
        <f>ROUND((G43+G36+G29),2)</f>
        <v>105075.95</v>
      </c>
      <c r="H44" s="290"/>
      <c r="I44" s="7"/>
    </row>
    <row r="45" spans="1:9" s="1" customFormat="1" ht="15" customHeight="1">
      <c r="A45" s="20" t="s">
        <v>485</v>
      </c>
      <c r="B45" s="310" t="s">
        <v>465</v>
      </c>
      <c r="C45" s="310"/>
      <c r="D45" s="310"/>
      <c r="E45" s="310"/>
      <c r="F45" s="310"/>
      <c r="G45" s="311"/>
      <c r="H45" s="311"/>
      <c r="I45" s="26"/>
    </row>
    <row r="46" spans="1:9" s="2" customFormat="1" ht="14.25">
      <c r="A46" s="27" t="s">
        <v>45</v>
      </c>
      <c r="B46" s="27"/>
      <c r="C46" s="28" t="s">
        <v>83</v>
      </c>
      <c r="D46" s="29"/>
      <c r="E46" s="30"/>
      <c r="F46" s="30"/>
      <c r="G46" s="30"/>
      <c r="H46" s="30"/>
      <c r="I46" s="30"/>
    </row>
    <row r="47" spans="1:9" s="1" customFormat="1" ht="25.5">
      <c r="A47" s="23" t="s">
        <v>448</v>
      </c>
      <c r="B47" s="23" t="s">
        <v>31</v>
      </c>
      <c r="C47" s="23" t="s">
        <v>183</v>
      </c>
      <c r="D47" s="197" t="s">
        <v>184</v>
      </c>
      <c r="E47" s="22" t="s">
        <v>41</v>
      </c>
      <c r="F47" s="22">
        <f>'MEMORIA DE CÁLCULO'!M323</f>
        <v>7.17</v>
      </c>
      <c r="G47" s="52" t="s">
        <v>513</v>
      </c>
      <c r="H47" s="22">
        <f>G47*(1+$I$6)</f>
        <v>849.32514600000002</v>
      </c>
      <c r="I47" s="22">
        <f>H47*F47</f>
        <v>6089.6612968199997</v>
      </c>
    </row>
    <row r="48" spans="1:9" s="1" customFormat="1" ht="38.25" customHeight="1">
      <c r="A48" s="23" t="s">
        <v>449</v>
      </c>
      <c r="B48" s="23" t="s">
        <v>31</v>
      </c>
      <c r="C48" s="23" t="s">
        <v>162</v>
      </c>
      <c r="D48" s="197" t="s">
        <v>163</v>
      </c>
      <c r="E48" s="22" t="s">
        <v>42</v>
      </c>
      <c r="F48" s="22">
        <f>'MEMORIA DE CÁLCULO'!M333</f>
        <v>121.57</v>
      </c>
      <c r="G48" s="52" t="s">
        <v>514</v>
      </c>
      <c r="H48" s="22">
        <f t="shared" ref="H48:H50" si="14">G48*(1+$I$6)</f>
        <v>70.084242000000003</v>
      </c>
      <c r="I48" s="22">
        <f t="shared" ref="I48:I50" si="15">H48*F48</f>
        <v>8520.14129994</v>
      </c>
    </row>
    <row r="49" spans="1:9" s="1" customFormat="1" ht="25.5">
      <c r="A49" s="23" t="s">
        <v>450</v>
      </c>
      <c r="B49" s="23" t="s">
        <v>31</v>
      </c>
      <c r="C49" s="23" t="s">
        <v>500</v>
      </c>
      <c r="D49" s="197" t="s">
        <v>501</v>
      </c>
      <c r="E49" s="22" t="s">
        <v>33</v>
      </c>
      <c r="F49" s="22">
        <f>'MEMORIA DE CÁLCULO'!M343</f>
        <v>264.60000000000002</v>
      </c>
      <c r="G49" s="52" t="s">
        <v>515</v>
      </c>
      <c r="H49" s="22">
        <f t="shared" si="14"/>
        <v>18.246858</v>
      </c>
      <c r="I49" s="22">
        <f t="shared" si="15"/>
        <v>4828.1186268000001</v>
      </c>
    </row>
    <row r="50" spans="1:9" s="1" customFormat="1" ht="14.25">
      <c r="A50" s="23" t="s">
        <v>502</v>
      </c>
      <c r="B50" s="218" t="s">
        <v>678</v>
      </c>
      <c r="C50" s="23" t="s">
        <v>59</v>
      </c>
      <c r="D50" s="196" t="s">
        <v>60</v>
      </c>
      <c r="E50" s="198" t="s">
        <v>43</v>
      </c>
      <c r="F50" s="198">
        <f>'MEMORIA DE CÁLCULO'!M353</f>
        <v>933.5</v>
      </c>
      <c r="G50" s="52">
        <v>11.3</v>
      </c>
      <c r="H50" s="22">
        <f t="shared" si="14"/>
        <v>13.960020000000002</v>
      </c>
      <c r="I50" s="22">
        <f t="shared" si="15"/>
        <v>13031.678670000001</v>
      </c>
    </row>
    <row r="51" spans="1:9" s="1" customFormat="1" ht="14.25">
      <c r="A51" s="287" t="s">
        <v>61</v>
      </c>
      <c r="B51" s="288"/>
      <c r="C51" s="288"/>
      <c r="D51" s="288"/>
      <c r="E51" s="24" t="str">
        <f>A46</f>
        <v>4.1</v>
      </c>
      <c r="F51" s="25" t="s">
        <v>50</v>
      </c>
      <c r="G51" s="289">
        <f>ROUND(SUM(I47:I50),2)</f>
        <v>32469.599999999999</v>
      </c>
      <c r="H51" s="290"/>
      <c r="I51" s="7"/>
    </row>
    <row r="52" spans="1:9" s="1" customFormat="1" ht="14.25">
      <c r="A52" s="27" t="s">
        <v>46</v>
      </c>
      <c r="B52" s="27"/>
      <c r="C52" s="28" t="s">
        <v>87</v>
      </c>
      <c r="D52" s="29"/>
      <c r="E52" s="30"/>
      <c r="F52" s="30"/>
      <c r="G52" s="52"/>
      <c r="H52" s="30"/>
      <c r="I52" s="30"/>
    </row>
    <row r="53" spans="1:9" s="2" customFormat="1" ht="38.25">
      <c r="A53" s="23" t="s">
        <v>451</v>
      </c>
      <c r="B53" s="23" t="s">
        <v>31</v>
      </c>
      <c r="C53" s="23" t="s">
        <v>181</v>
      </c>
      <c r="D53" s="195" t="s">
        <v>182</v>
      </c>
      <c r="E53" s="22" t="s">
        <v>41</v>
      </c>
      <c r="F53" s="22">
        <f>'MEMORIA DE CÁLCULO'!M371</f>
        <v>12.790000000000001</v>
      </c>
      <c r="G53" s="52" t="s">
        <v>516</v>
      </c>
      <c r="H53" s="22">
        <f>G53*(1+$I$6)</f>
        <v>872.77303800000004</v>
      </c>
      <c r="I53" s="22">
        <f>H53*F53</f>
        <v>11162.767156020001</v>
      </c>
    </row>
    <row r="54" spans="1:9" s="2" customFormat="1" ht="38.25">
      <c r="A54" s="23" t="s">
        <v>452</v>
      </c>
      <c r="B54" s="23" t="s">
        <v>31</v>
      </c>
      <c r="C54" s="23" t="s">
        <v>164</v>
      </c>
      <c r="D54" s="199" t="s">
        <v>165</v>
      </c>
      <c r="E54" s="22" t="s">
        <v>42</v>
      </c>
      <c r="F54" s="22">
        <f>'MEMORIA DE CÁLCULO'!M387</f>
        <v>190.07</v>
      </c>
      <c r="G54" s="52" t="s">
        <v>517</v>
      </c>
      <c r="H54" s="22">
        <f t="shared" ref="H54:H55" si="16">G54*(1+$I$6)</f>
        <v>115.36165199999999</v>
      </c>
      <c r="I54" s="22">
        <f t="shared" ref="I54:I55" si="17">H54*F54</f>
        <v>21926.789195639998</v>
      </c>
    </row>
    <row r="55" spans="1:9" s="1" customFormat="1" ht="14.25">
      <c r="A55" s="23" t="s">
        <v>453</v>
      </c>
      <c r="B55" s="218" t="s">
        <v>678</v>
      </c>
      <c r="C55" s="23" t="s">
        <v>59</v>
      </c>
      <c r="D55" s="196" t="s">
        <v>60</v>
      </c>
      <c r="E55" s="22" t="s">
        <v>43</v>
      </c>
      <c r="F55" s="22">
        <f>'MEMORIA DE CÁLCULO'!M403</f>
        <v>992.4</v>
      </c>
      <c r="G55" s="52">
        <v>11.3</v>
      </c>
      <c r="H55" s="22">
        <f t="shared" si="16"/>
        <v>13.960020000000002</v>
      </c>
      <c r="I55" s="22">
        <f t="shared" si="17"/>
        <v>13853.923848000002</v>
      </c>
    </row>
    <row r="56" spans="1:9" s="1" customFormat="1" ht="14.25">
      <c r="A56" s="287" t="s">
        <v>61</v>
      </c>
      <c r="B56" s="288"/>
      <c r="C56" s="288"/>
      <c r="D56" s="288"/>
      <c r="E56" s="24" t="str">
        <f>A52</f>
        <v>4.2</v>
      </c>
      <c r="F56" s="25" t="s">
        <v>50</v>
      </c>
      <c r="G56" s="289">
        <f>ROUND(SUM(I53:I55),2)</f>
        <v>46943.48</v>
      </c>
      <c r="H56" s="290"/>
      <c r="I56" s="7"/>
    </row>
    <row r="57" spans="1:9" s="1" customFormat="1" ht="14.25">
      <c r="A57" s="27" t="s">
        <v>180</v>
      </c>
      <c r="B57" s="27"/>
      <c r="C57" s="28" t="s">
        <v>91</v>
      </c>
      <c r="D57" s="29"/>
      <c r="E57" s="30"/>
      <c r="F57" s="30"/>
      <c r="G57" s="30"/>
      <c r="H57" s="30"/>
      <c r="I57" s="30"/>
    </row>
    <row r="58" spans="1:9" s="1" customFormat="1" ht="78" customHeight="1">
      <c r="A58" s="23" t="s">
        <v>454</v>
      </c>
      <c r="B58" s="218" t="s">
        <v>678</v>
      </c>
      <c r="C58" s="23" t="s">
        <v>556</v>
      </c>
      <c r="D58" s="195" t="s">
        <v>557</v>
      </c>
      <c r="E58" s="22" t="s">
        <v>42</v>
      </c>
      <c r="F58" s="22">
        <f>'MEMORIA DE CÁLCULO'!M422</f>
        <v>170.3</v>
      </c>
      <c r="G58" s="52">
        <v>156.99</v>
      </c>
      <c r="H58" s="22">
        <f>G58*(1+$I$6)</f>
        <v>193.94544600000003</v>
      </c>
      <c r="I58" s="22">
        <f>H58*F58</f>
        <v>33028.909453800006</v>
      </c>
    </row>
    <row r="59" spans="1:9" s="1" customFormat="1" ht="38.25">
      <c r="A59" s="23" t="s">
        <v>455</v>
      </c>
      <c r="B59" s="218" t="s">
        <v>678</v>
      </c>
      <c r="C59" s="23" t="s">
        <v>558</v>
      </c>
      <c r="D59" s="195" t="s">
        <v>559</v>
      </c>
      <c r="E59" s="22" t="s">
        <v>42</v>
      </c>
      <c r="F59" s="22">
        <f>'MEMORIA DE CÁLCULO'!M432</f>
        <v>34.9</v>
      </c>
      <c r="G59" s="52">
        <v>285.58</v>
      </c>
      <c r="H59" s="22">
        <f t="shared" ref="H59" si="18">G59*(1+$I$6)</f>
        <v>352.80553199999997</v>
      </c>
      <c r="I59" s="22">
        <f t="shared" ref="I59" si="19">H59*F59</f>
        <v>12312.913066799998</v>
      </c>
    </row>
    <row r="60" spans="1:9" s="1" customFormat="1" ht="25.5">
      <c r="A60" s="23" t="s">
        <v>456</v>
      </c>
      <c r="B60" s="237" t="s">
        <v>678</v>
      </c>
      <c r="C60" s="23" t="s">
        <v>59</v>
      </c>
      <c r="D60" s="196" t="s">
        <v>497</v>
      </c>
      <c r="E60" s="22" t="s">
        <v>43</v>
      </c>
      <c r="F60" s="22">
        <f>'MEMORIA DE CÁLCULO'!M448</f>
        <v>449.6</v>
      </c>
      <c r="G60" s="52">
        <v>11.3</v>
      </c>
      <c r="H60" s="22">
        <f t="shared" ref="H60:H63" si="20">G60*(1+$I$6)</f>
        <v>13.960020000000002</v>
      </c>
      <c r="I60" s="22">
        <f t="shared" ref="I60:I63" si="21">H60*F60</f>
        <v>6276.4249920000011</v>
      </c>
    </row>
    <row r="61" spans="1:9" s="1" customFormat="1" ht="38.25">
      <c r="A61" s="23" t="s">
        <v>457</v>
      </c>
      <c r="B61" s="218" t="s">
        <v>678</v>
      </c>
      <c r="C61" s="23" t="s">
        <v>185</v>
      </c>
      <c r="D61" s="195" t="s">
        <v>186</v>
      </c>
      <c r="E61" s="22" t="s">
        <v>42</v>
      </c>
      <c r="F61" s="22">
        <f>'MEMORIA DE CÁLCULO'!M464</f>
        <v>170.3</v>
      </c>
      <c r="G61" s="52">
        <v>29.95</v>
      </c>
      <c r="H61" s="22">
        <f t="shared" si="20"/>
        <v>37.000230000000002</v>
      </c>
      <c r="I61" s="22">
        <f t="shared" si="21"/>
        <v>6301.1391690000009</v>
      </c>
    </row>
    <row r="62" spans="1:9" s="1" customFormat="1" ht="38.25">
      <c r="A62" s="23" t="s">
        <v>458</v>
      </c>
      <c r="B62" s="218" t="s">
        <v>678</v>
      </c>
      <c r="C62" s="23" t="s">
        <v>187</v>
      </c>
      <c r="D62" s="195" t="s">
        <v>188</v>
      </c>
      <c r="E62" s="22" t="s">
        <v>42</v>
      </c>
      <c r="F62" s="22">
        <f>'MEMORIA DE CÁLCULO'!M474</f>
        <v>89.24</v>
      </c>
      <c r="G62" s="52">
        <v>20.66</v>
      </c>
      <c r="H62" s="22">
        <f t="shared" si="20"/>
        <v>25.523364000000001</v>
      </c>
      <c r="I62" s="22">
        <f t="shared" si="21"/>
        <v>2277.7050033599999</v>
      </c>
    </row>
    <row r="63" spans="1:9" s="1" customFormat="1" ht="38.25">
      <c r="A63" s="23" t="s">
        <v>498</v>
      </c>
      <c r="B63" s="218" t="s">
        <v>678</v>
      </c>
      <c r="C63" s="23" t="s">
        <v>494</v>
      </c>
      <c r="D63" s="195" t="s">
        <v>495</v>
      </c>
      <c r="E63" s="22" t="s">
        <v>496</v>
      </c>
      <c r="F63" s="22">
        <f>'MEMORIA DE CÁLCULO'!M496</f>
        <v>410.40000000000003</v>
      </c>
      <c r="G63" s="52">
        <v>20.39</v>
      </c>
      <c r="H63" s="22">
        <f t="shared" si="20"/>
        <v>25.189806000000001</v>
      </c>
      <c r="I63" s="22">
        <f t="shared" si="21"/>
        <v>10337.896382400002</v>
      </c>
    </row>
    <row r="64" spans="1:9" s="1" customFormat="1" ht="14.25">
      <c r="A64" s="287" t="s">
        <v>61</v>
      </c>
      <c r="B64" s="288"/>
      <c r="C64" s="288"/>
      <c r="D64" s="288"/>
      <c r="E64" s="24" t="str">
        <f>A57</f>
        <v>4.3</v>
      </c>
      <c r="F64" s="25" t="s">
        <v>50</v>
      </c>
      <c r="G64" s="321">
        <f>ROUND(SUM(I58:I63),2)</f>
        <v>70534.990000000005</v>
      </c>
      <c r="H64" s="289"/>
      <c r="I64" s="7"/>
    </row>
    <row r="65" spans="1:9" s="1" customFormat="1" ht="14.25">
      <c r="A65" s="287" t="s">
        <v>61</v>
      </c>
      <c r="B65" s="288"/>
      <c r="C65" s="288"/>
      <c r="D65" s="288"/>
      <c r="E65" s="24" t="str">
        <f>A45</f>
        <v>4.</v>
      </c>
      <c r="F65" s="25" t="s">
        <v>50</v>
      </c>
      <c r="G65" s="289">
        <f>ROUND((G64+G56+G51),2)</f>
        <v>149948.07</v>
      </c>
      <c r="H65" s="290"/>
      <c r="I65" s="7"/>
    </row>
    <row r="66" spans="1:9" s="1" customFormat="1" ht="15" customHeight="1">
      <c r="A66" s="20" t="s">
        <v>484</v>
      </c>
      <c r="B66" s="291" t="s">
        <v>299</v>
      </c>
      <c r="C66" s="291"/>
      <c r="D66" s="291"/>
      <c r="E66" s="291"/>
      <c r="F66" s="291"/>
      <c r="G66" s="292"/>
      <c r="H66" s="292"/>
      <c r="I66" s="31"/>
    </row>
    <row r="67" spans="1:9" s="1" customFormat="1" ht="25.5">
      <c r="A67" s="200" t="s">
        <v>47</v>
      </c>
      <c r="B67" s="218" t="s">
        <v>678</v>
      </c>
      <c r="C67" s="200" t="s">
        <v>230</v>
      </c>
      <c r="D67" s="195" t="s">
        <v>231</v>
      </c>
      <c r="E67" s="22" t="s">
        <v>42</v>
      </c>
      <c r="F67" s="201">
        <f>'MEMORIA DE CÁLCULO'!M526</f>
        <v>265.32139999999998</v>
      </c>
      <c r="G67" s="52">
        <v>65.06</v>
      </c>
      <c r="H67" s="52">
        <f>G67*(1+$I$6)</f>
        <v>80.375124</v>
      </c>
      <c r="I67" s="52">
        <f>H67*F67</f>
        <v>21325.240424853597</v>
      </c>
    </row>
    <row r="68" spans="1:9" s="1" customFormat="1" ht="25.5">
      <c r="A68" s="200" t="s">
        <v>48</v>
      </c>
      <c r="B68" s="218" t="s">
        <v>678</v>
      </c>
      <c r="C68" s="200" t="s">
        <v>636</v>
      </c>
      <c r="D68" s="195" t="s">
        <v>637</v>
      </c>
      <c r="E68" s="22" t="s">
        <v>42</v>
      </c>
      <c r="F68" s="201">
        <f>'MEMORIA DE CÁLCULO'!M536</f>
        <v>95.212410000000006</v>
      </c>
      <c r="G68" s="52">
        <v>89.64</v>
      </c>
      <c r="H68" s="52">
        <f>G68*(1+$I$6)</f>
        <v>110.74125600000001</v>
      </c>
      <c r="I68" s="52">
        <f>H68*F68</f>
        <v>10543.941870186962</v>
      </c>
    </row>
    <row r="69" spans="1:9" s="1" customFormat="1" ht="51">
      <c r="A69" s="200" t="s">
        <v>638</v>
      </c>
      <c r="B69" s="218" t="s">
        <v>678</v>
      </c>
      <c r="C69" s="23" t="s">
        <v>383</v>
      </c>
      <c r="D69" s="195" t="s">
        <v>384</v>
      </c>
      <c r="E69" s="22" t="s">
        <v>42</v>
      </c>
      <c r="F69" s="22">
        <f>'MEMORIA DE CÁLCULO'!M552</f>
        <v>16.98</v>
      </c>
      <c r="G69" s="52">
        <v>92.69</v>
      </c>
      <c r="H69" s="22">
        <f t="shared" ref="H69:H72" si="22">G69*(1+$I$6)</f>
        <v>114.509226</v>
      </c>
      <c r="I69" s="22">
        <f t="shared" ref="I69:I72" si="23">H69*F69</f>
        <v>1944.36665748</v>
      </c>
    </row>
    <row r="70" spans="1:9" s="1" customFormat="1" ht="25.5">
      <c r="A70" s="200" t="s">
        <v>94</v>
      </c>
      <c r="B70" s="218" t="s">
        <v>678</v>
      </c>
      <c r="C70" s="200" t="s">
        <v>385</v>
      </c>
      <c r="D70" s="195" t="s">
        <v>386</v>
      </c>
      <c r="E70" s="22" t="s">
        <v>42</v>
      </c>
      <c r="F70" s="201">
        <f>'MEMORIA DE CÁLCULO'!M565</f>
        <v>3.7800000000000002</v>
      </c>
      <c r="G70" s="52">
        <v>376.81</v>
      </c>
      <c r="H70" s="52">
        <f t="shared" si="22"/>
        <v>465.51107400000001</v>
      </c>
      <c r="I70" s="52">
        <f t="shared" si="23"/>
        <v>1759.6318597200002</v>
      </c>
    </row>
    <row r="71" spans="1:9" s="1" customFormat="1" ht="38.25">
      <c r="A71" s="200" t="s">
        <v>95</v>
      </c>
      <c r="B71" s="273" t="s">
        <v>678</v>
      </c>
      <c r="C71" s="23" t="s">
        <v>232</v>
      </c>
      <c r="D71" s="195" t="s">
        <v>268</v>
      </c>
      <c r="E71" s="22" t="s">
        <v>41</v>
      </c>
      <c r="F71" s="22">
        <f>'MEMORIA DE CÁLCULO'!M581</f>
        <v>0.63080000000000003</v>
      </c>
      <c r="G71" s="52">
        <v>2868.53</v>
      </c>
      <c r="H71" s="22">
        <f t="shared" si="22"/>
        <v>3543.7819620000005</v>
      </c>
      <c r="I71" s="22">
        <f t="shared" si="23"/>
        <v>2235.4176616296004</v>
      </c>
    </row>
    <row r="72" spans="1:9" s="1" customFormat="1" ht="38.25">
      <c r="A72" s="200" t="s">
        <v>518</v>
      </c>
      <c r="B72" s="218" t="s">
        <v>678</v>
      </c>
      <c r="C72" s="23" t="s">
        <v>233</v>
      </c>
      <c r="D72" s="195" t="s">
        <v>269</v>
      </c>
      <c r="E72" s="22" t="s">
        <v>41</v>
      </c>
      <c r="F72" s="22">
        <f>'MEMORIA DE CÁLCULO'!M609</f>
        <v>0.64790000000000003</v>
      </c>
      <c r="G72" s="52">
        <v>2673.16</v>
      </c>
      <c r="H72" s="22">
        <f t="shared" si="22"/>
        <v>3302.4218639999999</v>
      </c>
      <c r="I72" s="22">
        <f t="shared" si="23"/>
        <v>2139.6391256856</v>
      </c>
    </row>
    <row r="73" spans="1:9" s="1" customFormat="1" ht="14.25">
      <c r="A73" s="287" t="s">
        <v>61</v>
      </c>
      <c r="B73" s="288"/>
      <c r="C73" s="288"/>
      <c r="D73" s="288"/>
      <c r="E73" s="24" t="str">
        <f>A66</f>
        <v>5.</v>
      </c>
      <c r="F73" s="25" t="s">
        <v>50</v>
      </c>
      <c r="G73" s="289">
        <f>ROUND(SUM(I67:I72),2)</f>
        <v>39948.239999999998</v>
      </c>
      <c r="H73" s="290"/>
      <c r="I73" s="7"/>
    </row>
    <row r="74" spans="1:9" s="1" customFormat="1" ht="15" customHeight="1">
      <c r="A74" s="20" t="s">
        <v>483</v>
      </c>
      <c r="B74" s="310" t="s">
        <v>302</v>
      </c>
      <c r="C74" s="310"/>
      <c r="D74" s="310"/>
      <c r="E74" s="310"/>
      <c r="F74" s="310"/>
      <c r="G74" s="311"/>
      <c r="H74" s="311"/>
      <c r="I74" s="26"/>
    </row>
    <row r="75" spans="1:9" s="1" customFormat="1" ht="51">
      <c r="A75" s="23" t="s">
        <v>205</v>
      </c>
      <c r="B75" s="218" t="s">
        <v>678</v>
      </c>
      <c r="C75" s="23" t="s">
        <v>681</v>
      </c>
      <c r="D75" s="195" t="s">
        <v>682</v>
      </c>
      <c r="E75" s="22" t="s">
        <v>42</v>
      </c>
      <c r="F75" s="22">
        <f>'MEMORIA DE CÁLCULO'!M636</f>
        <v>19.95</v>
      </c>
      <c r="G75" s="52">
        <v>899.35</v>
      </c>
      <c r="H75" s="22">
        <f t="shared" ref="H75" si="24">G75*(1+$I$6)</f>
        <v>1111.05699</v>
      </c>
      <c r="I75" s="22">
        <f t="shared" ref="I75" si="25">H75*F75</f>
        <v>22165.586950500001</v>
      </c>
    </row>
    <row r="76" spans="1:9" s="1" customFormat="1" ht="38.25">
      <c r="A76" s="23" t="s">
        <v>206</v>
      </c>
      <c r="B76" s="218" t="s">
        <v>678</v>
      </c>
      <c r="C76" s="23" t="s">
        <v>683</v>
      </c>
      <c r="D76" s="195" t="s">
        <v>684</v>
      </c>
      <c r="E76" s="22" t="s">
        <v>44</v>
      </c>
      <c r="F76" s="22">
        <v>12</v>
      </c>
      <c r="G76" s="52">
        <v>98.78</v>
      </c>
      <c r="H76" s="22">
        <f t="shared" ref="H76:H85" si="26">G76*(1+$I$6)</f>
        <v>122.03281200000001</v>
      </c>
      <c r="I76" s="22">
        <f t="shared" ref="I76:I85" si="27">H76*F76</f>
        <v>1464.393744</v>
      </c>
    </row>
    <row r="77" spans="1:9" s="1" customFormat="1" ht="51">
      <c r="A77" s="23" t="s">
        <v>207</v>
      </c>
      <c r="B77" s="218" t="s">
        <v>678</v>
      </c>
      <c r="C77" s="202" t="s">
        <v>691</v>
      </c>
      <c r="D77" s="199" t="s">
        <v>692</v>
      </c>
      <c r="E77" s="32" t="s">
        <v>42</v>
      </c>
      <c r="F77" s="52">
        <f>'MEMORIA DE CÁLCULO'!M668</f>
        <v>0.84</v>
      </c>
      <c r="G77" s="52">
        <v>945.42</v>
      </c>
      <c r="H77" s="22">
        <f t="shared" si="26"/>
        <v>1167.9718680000001</v>
      </c>
      <c r="I77" s="22">
        <f t="shared" si="27"/>
        <v>981.09636912000008</v>
      </c>
    </row>
    <row r="78" spans="1:9" s="1" customFormat="1" ht="38.25">
      <c r="A78" s="23" t="s">
        <v>459</v>
      </c>
      <c r="B78" s="218" t="s">
        <v>678</v>
      </c>
      <c r="C78" s="200" t="s">
        <v>693</v>
      </c>
      <c r="D78" s="195" t="s">
        <v>694</v>
      </c>
      <c r="E78" s="22" t="s">
        <v>44</v>
      </c>
      <c r="F78" s="201">
        <f>'MEMORIA DE CÁLCULO'!M675</f>
        <v>1</v>
      </c>
      <c r="G78" s="52">
        <v>126.85</v>
      </c>
      <c r="H78" s="22">
        <f t="shared" si="26"/>
        <v>156.71048999999999</v>
      </c>
      <c r="I78" s="22">
        <f t="shared" si="27"/>
        <v>156.71048999999999</v>
      </c>
    </row>
    <row r="79" spans="1:9" s="1" customFormat="1" ht="51">
      <c r="A79" s="23" t="s">
        <v>460</v>
      </c>
      <c r="B79" s="218" t="s">
        <v>678</v>
      </c>
      <c r="C79" s="202" t="s">
        <v>396</v>
      </c>
      <c r="D79" s="199" t="s">
        <v>663</v>
      </c>
      <c r="E79" s="22" t="s">
        <v>44</v>
      </c>
      <c r="F79" s="52">
        <f>'MEMORIA DE CÁLCULO'!M682</f>
        <v>1</v>
      </c>
      <c r="G79" s="52">
        <v>1071.5899999999999</v>
      </c>
      <c r="H79" s="22">
        <f t="shared" si="26"/>
        <v>1323.8422860000001</v>
      </c>
      <c r="I79" s="22">
        <f t="shared" si="27"/>
        <v>1323.8422860000001</v>
      </c>
    </row>
    <row r="80" spans="1:9" s="1" customFormat="1" ht="76.5">
      <c r="A80" s="23" t="s">
        <v>503</v>
      </c>
      <c r="B80" s="218" t="s">
        <v>678</v>
      </c>
      <c r="C80" s="202" t="s">
        <v>397</v>
      </c>
      <c r="D80" s="199" t="s">
        <v>675</v>
      </c>
      <c r="E80" s="22" t="s">
        <v>44</v>
      </c>
      <c r="F80" s="52">
        <f>'MEMORIA DE CÁLCULO'!M689</f>
        <v>2</v>
      </c>
      <c r="G80" s="52">
        <v>968.16</v>
      </c>
      <c r="H80" s="22">
        <f t="shared" si="26"/>
        <v>1196.0648639999999</v>
      </c>
      <c r="I80" s="22">
        <f t="shared" si="27"/>
        <v>2392.1297279999999</v>
      </c>
    </row>
    <row r="81" spans="1:9" s="1" customFormat="1" ht="51">
      <c r="A81" s="23" t="s">
        <v>504</v>
      </c>
      <c r="B81" s="218" t="s">
        <v>678</v>
      </c>
      <c r="C81" s="202" t="s">
        <v>665</v>
      </c>
      <c r="D81" s="199" t="s">
        <v>666</v>
      </c>
      <c r="E81" s="22" t="s">
        <v>44</v>
      </c>
      <c r="F81" s="52">
        <f>'MEMORIA DE CÁLCULO'!M699</f>
        <v>2</v>
      </c>
      <c r="G81" s="52">
        <v>1079.99</v>
      </c>
      <c r="H81" s="22">
        <f t="shared" si="26"/>
        <v>1334.219646</v>
      </c>
      <c r="I81" s="22">
        <f t="shared" si="27"/>
        <v>2668.439292</v>
      </c>
    </row>
    <row r="82" spans="1:9" s="1" customFormat="1" ht="51">
      <c r="A82" s="23" t="s">
        <v>689</v>
      </c>
      <c r="B82" s="218" t="s">
        <v>678</v>
      </c>
      <c r="C82" s="202" t="s">
        <v>667</v>
      </c>
      <c r="D82" s="199" t="s">
        <v>668</v>
      </c>
      <c r="E82" s="22" t="s">
        <v>44</v>
      </c>
      <c r="F82" s="52">
        <f>'MEMORIA DE CÁLCULO'!M709</f>
        <v>2</v>
      </c>
      <c r="G82" s="52">
        <v>1041.8699999999999</v>
      </c>
      <c r="H82" s="22">
        <f t="shared" si="26"/>
        <v>1287.1261979999999</v>
      </c>
      <c r="I82" s="22">
        <f t="shared" si="27"/>
        <v>2574.2523959999999</v>
      </c>
    </row>
    <row r="83" spans="1:9" s="1" customFormat="1" ht="63.75">
      <c r="A83" s="23" t="s">
        <v>690</v>
      </c>
      <c r="B83" s="262" t="s">
        <v>678</v>
      </c>
      <c r="C83" s="202" t="s">
        <v>685</v>
      </c>
      <c r="D83" s="199" t="s">
        <v>686</v>
      </c>
      <c r="E83" s="22" t="s">
        <v>42</v>
      </c>
      <c r="F83" s="52">
        <f>'MEMORIA DE CÁLCULO'!M716</f>
        <v>3.7800000000000002</v>
      </c>
      <c r="G83" s="52">
        <v>520.13</v>
      </c>
      <c r="H83" s="22">
        <f t="shared" si="26"/>
        <v>642.56860200000006</v>
      </c>
      <c r="I83" s="22">
        <f t="shared" si="27"/>
        <v>2428.9093155600003</v>
      </c>
    </row>
    <row r="84" spans="1:9" s="1" customFormat="1" ht="76.5">
      <c r="A84" s="23" t="s">
        <v>695</v>
      </c>
      <c r="B84" s="262" t="s">
        <v>678</v>
      </c>
      <c r="C84" s="202" t="s">
        <v>687</v>
      </c>
      <c r="D84" s="199" t="s">
        <v>688</v>
      </c>
      <c r="E84" s="22" t="s">
        <v>44</v>
      </c>
      <c r="F84" s="52">
        <f>'MEMORIA DE CÁLCULO'!M723</f>
        <v>1</v>
      </c>
      <c r="G84" s="52">
        <v>320.20999999999998</v>
      </c>
      <c r="H84" s="22">
        <f t="shared" si="26"/>
        <v>395.58743399999997</v>
      </c>
      <c r="I84" s="22">
        <f t="shared" si="27"/>
        <v>395.58743399999997</v>
      </c>
    </row>
    <row r="85" spans="1:9" s="1" customFormat="1" ht="25.5">
      <c r="A85" s="23" t="s">
        <v>696</v>
      </c>
      <c r="B85" s="78" t="s">
        <v>274</v>
      </c>
      <c r="C85" s="202" t="str">
        <f>COMPOSIÇÃO!B9</f>
        <v>102183/1</v>
      </c>
      <c r="D85" s="199" t="str">
        <f>COMPOSIÇÃO!C9</f>
        <v>PORTA DE VIDRO TEMPERADO, 2 FOLHAS DE 70X210 CM, ESPESSURA DE 10MM, INCLUSIVE ACESSÓRIOS. AF_01/2021</v>
      </c>
      <c r="E85" s="22" t="str">
        <f>COMPOSIÇÃO!F9</f>
        <v>M2</v>
      </c>
      <c r="F85" s="52">
        <f>'MEMORIA DE CÁLCULO'!M730</f>
        <v>2.94</v>
      </c>
      <c r="G85" s="52">
        <f>COMPOSIÇÃO!H17</f>
        <v>1237.82</v>
      </c>
      <c r="H85" s="22">
        <f t="shared" si="26"/>
        <v>1529.202828</v>
      </c>
      <c r="I85" s="22">
        <f t="shared" si="27"/>
        <v>4495.8563143199999</v>
      </c>
    </row>
    <row r="86" spans="1:9" s="1" customFormat="1" ht="14.25">
      <c r="A86" s="287" t="s">
        <v>61</v>
      </c>
      <c r="B86" s="288"/>
      <c r="C86" s="288"/>
      <c r="D86" s="288"/>
      <c r="E86" s="24" t="str">
        <f>A74</f>
        <v>6.</v>
      </c>
      <c r="F86" s="25" t="s">
        <v>50</v>
      </c>
      <c r="G86" s="289">
        <f>ROUND(SUM(I75:I85),2)</f>
        <v>41046.800000000003</v>
      </c>
      <c r="H86" s="290"/>
      <c r="I86" s="7"/>
    </row>
    <row r="87" spans="1:9" s="1" customFormat="1" ht="15" customHeight="1">
      <c r="A87" s="20" t="s">
        <v>479</v>
      </c>
      <c r="B87" s="293" t="s">
        <v>199</v>
      </c>
      <c r="C87" s="294"/>
      <c r="D87" s="294"/>
      <c r="E87" s="294"/>
      <c r="F87" s="294"/>
      <c r="G87" s="294"/>
      <c r="H87" s="295"/>
      <c r="I87" s="26"/>
    </row>
    <row r="88" spans="1:9" s="1" customFormat="1" ht="38.25">
      <c r="A88" s="23" t="s">
        <v>169</v>
      </c>
      <c r="B88" s="218" t="s">
        <v>31</v>
      </c>
      <c r="C88" s="202">
        <v>92255</v>
      </c>
      <c r="D88" s="199" t="s">
        <v>670</v>
      </c>
      <c r="E88" s="22" t="s">
        <v>44</v>
      </c>
      <c r="F88" s="52">
        <f>'MEMORIA DE CÁLCULO'!M745</f>
        <v>14</v>
      </c>
      <c r="G88" s="52">
        <v>210.27</v>
      </c>
      <c r="H88" s="52">
        <f>G88*(1+$I$6)</f>
        <v>259.76755800000001</v>
      </c>
      <c r="I88" s="52">
        <f>H88*F88</f>
        <v>3636.7458120000001</v>
      </c>
    </row>
    <row r="89" spans="1:9" s="1" customFormat="1" ht="51">
      <c r="A89" s="23" t="s">
        <v>170</v>
      </c>
      <c r="B89" s="262" t="s">
        <v>31</v>
      </c>
      <c r="C89" s="202">
        <v>92580</v>
      </c>
      <c r="D89" s="199" t="s">
        <v>673</v>
      </c>
      <c r="E89" s="22" t="s">
        <v>42</v>
      </c>
      <c r="F89" s="52">
        <f>'MEMORIA DE CÁLCULO'!M758</f>
        <v>188.47799999999998</v>
      </c>
      <c r="G89" s="52">
        <v>49.7</v>
      </c>
      <c r="H89" s="52">
        <f>G89*(1+$I$6)</f>
        <v>61.399380000000008</v>
      </c>
      <c r="I89" s="52">
        <f>H89*F89</f>
        <v>11572.432343640001</v>
      </c>
    </row>
    <row r="90" spans="1:9" s="1" customFormat="1" ht="25.5">
      <c r="A90" s="23" t="s">
        <v>171</v>
      </c>
      <c r="B90" s="218" t="s">
        <v>31</v>
      </c>
      <c r="C90" s="202">
        <v>94216</v>
      </c>
      <c r="D90" s="199" t="s">
        <v>679</v>
      </c>
      <c r="E90" s="22" t="s">
        <v>42</v>
      </c>
      <c r="F90" s="52">
        <f>'MEMORIA DE CÁLCULO'!M765</f>
        <v>75.724999999999994</v>
      </c>
      <c r="G90" s="52">
        <v>149.35</v>
      </c>
      <c r="H90" s="52">
        <f t="shared" ref="H90:H93" si="28">G90*(1+$I$6)</f>
        <v>184.50699</v>
      </c>
      <c r="I90" s="52">
        <f t="shared" ref="I90:I93" si="29">H90*F90</f>
        <v>13971.79181775</v>
      </c>
    </row>
    <row r="91" spans="1:9" s="6" customFormat="1" ht="51">
      <c r="A91" s="23" t="s">
        <v>480</v>
      </c>
      <c r="B91" s="218" t="s">
        <v>678</v>
      </c>
      <c r="C91" s="203" t="s">
        <v>671</v>
      </c>
      <c r="D91" s="204" t="s">
        <v>672</v>
      </c>
      <c r="E91" s="32" t="s">
        <v>42</v>
      </c>
      <c r="F91" s="32">
        <f>'MEMORIA DE CÁLCULO'!M775</f>
        <v>112.75299999999999</v>
      </c>
      <c r="G91" s="52">
        <v>55.29</v>
      </c>
      <c r="H91" s="32">
        <f t="shared" si="28"/>
        <v>68.305266000000003</v>
      </c>
      <c r="I91" s="32">
        <f t="shared" si="29"/>
        <v>7701.6236572979997</v>
      </c>
    </row>
    <row r="92" spans="1:9" s="1" customFormat="1" ht="38.25">
      <c r="A92" s="23" t="s">
        <v>676</v>
      </c>
      <c r="B92" s="218" t="s">
        <v>31</v>
      </c>
      <c r="C92" s="202" t="s">
        <v>201</v>
      </c>
      <c r="D92" s="199" t="s">
        <v>202</v>
      </c>
      <c r="E92" s="22" t="s">
        <v>33</v>
      </c>
      <c r="F92" s="52">
        <f>'MEMORIA DE CÁLCULO'!M788</f>
        <v>37.36</v>
      </c>
      <c r="G92" s="52" t="s">
        <v>520</v>
      </c>
      <c r="H92" s="52">
        <f t="shared" si="28"/>
        <v>108.07279200000001</v>
      </c>
      <c r="I92" s="52">
        <f t="shared" si="29"/>
        <v>4037.5995091200002</v>
      </c>
    </row>
    <row r="93" spans="1:9" s="1" customFormat="1" ht="38.25">
      <c r="A93" s="23" t="s">
        <v>677</v>
      </c>
      <c r="B93" s="218" t="s">
        <v>678</v>
      </c>
      <c r="C93" s="202" t="s">
        <v>203</v>
      </c>
      <c r="D93" s="199" t="s">
        <v>204</v>
      </c>
      <c r="E93" s="22" t="s">
        <v>33</v>
      </c>
      <c r="F93" s="52">
        <f>'MEMORIA DE CÁLCULO'!M801</f>
        <v>80.052999999999997</v>
      </c>
      <c r="G93" s="52">
        <v>45.81</v>
      </c>
      <c r="H93" s="52">
        <f t="shared" si="28"/>
        <v>56.593674000000007</v>
      </c>
      <c r="I93" s="52">
        <f t="shared" si="29"/>
        <v>4530.493384722</v>
      </c>
    </row>
    <row r="94" spans="1:9" s="1" customFormat="1" ht="15" customHeight="1">
      <c r="A94" s="287" t="s">
        <v>61</v>
      </c>
      <c r="B94" s="288"/>
      <c r="C94" s="288"/>
      <c r="D94" s="288"/>
      <c r="E94" s="24" t="str">
        <f>A87</f>
        <v>7.</v>
      </c>
      <c r="F94" s="25" t="s">
        <v>50</v>
      </c>
      <c r="G94" s="289">
        <f>ROUND(SUM(I88:I93),2)</f>
        <v>45450.69</v>
      </c>
      <c r="H94" s="290"/>
      <c r="I94" s="7"/>
    </row>
    <row r="95" spans="1:9" s="1" customFormat="1" ht="15" customHeight="1">
      <c r="A95" s="20" t="s">
        <v>489</v>
      </c>
      <c r="B95" s="291" t="s">
        <v>97</v>
      </c>
      <c r="C95" s="291"/>
      <c r="D95" s="291"/>
      <c r="E95" s="291"/>
      <c r="F95" s="291"/>
      <c r="G95" s="292"/>
      <c r="H95" s="292"/>
      <c r="I95" s="31"/>
    </row>
    <row r="96" spans="1:9" s="6" customFormat="1" ht="38.25">
      <c r="A96" s="23" t="s">
        <v>172</v>
      </c>
      <c r="B96" s="229" t="s">
        <v>678</v>
      </c>
      <c r="C96" s="229" t="s">
        <v>98</v>
      </c>
      <c r="D96" s="192" t="s">
        <v>173</v>
      </c>
      <c r="E96" s="32" t="s">
        <v>44</v>
      </c>
      <c r="F96" s="193">
        <v>29</v>
      </c>
      <c r="G96" s="52">
        <v>10.97</v>
      </c>
      <c r="H96" s="22">
        <f t="shared" ref="H96:H127" si="30">G96*(1+$I$6)</f>
        <v>13.552338000000001</v>
      </c>
      <c r="I96" s="22">
        <f t="shared" ref="I96:I127" si="31">H96*F96</f>
        <v>393.01780200000002</v>
      </c>
    </row>
    <row r="97" spans="1:9" s="6" customFormat="1" ht="25.5">
      <c r="A97" s="23" t="s">
        <v>218</v>
      </c>
      <c r="B97" s="229" t="s">
        <v>678</v>
      </c>
      <c r="C97" s="229" t="s">
        <v>767</v>
      </c>
      <c r="D97" s="192" t="s">
        <v>768</v>
      </c>
      <c r="E97" s="32" t="s">
        <v>44</v>
      </c>
      <c r="F97" s="193">
        <v>1</v>
      </c>
      <c r="G97" s="52">
        <v>14.78</v>
      </c>
      <c r="H97" s="22">
        <f t="shared" si="30"/>
        <v>18.259212000000002</v>
      </c>
      <c r="I97" s="22">
        <f t="shared" si="31"/>
        <v>18.259212000000002</v>
      </c>
    </row>
    <row r="98" spans="1:9" s="6" customFormat="1" ht="25.5">
      <c r="A98" s="23" t="s">
        <v>736</v>
      </c>
      <c r="B98" s="218" t="s">
        <v>678</v>
      </c>
      <c r="C98" s="188" t="s">
        <v>99</v>
      </c>
      <c r="D98" s="192" t="s">
        <v>100</v>
      </c>
      <c r="E98" s="32" t="s">
        <v>44</v>
      </c>
      <c r="F98" s="193">
        <v>16</v>
      </c>
      <c r="G98" s="52">
        <v>12.61</v>
      </c>
      <c r="H98" s="22">
        <f t="shared" si="30"/>
        <v>15.578393999999999</v>
      </c>
      <c r="I98" s="22">
        <f t="shared" si="31"/>
        <v>249.25430399999999</v>
      </c>
    </row>
    <row r="99" spans="1:9" s="6" customFormat="1" ht="14.25">
      <c r="A99" s="23" t="s">
        <v>737</v>
      </c>
      <c r="B99" s="78" t="s">
        <v>274</v>
      </c>
      <c r="C99" s="229" t="str">
        <f>COMPOSIÇÃO!B19</f>
        <v>4375/1</v>
      </c>
      <c r="D99" s="251" t="str">
        <f>COMPOSIÇÃO!C19</f>
        <v>BUCHA DE NYLON SEM ABA S6</v>
      </c>
      <c r="E99" s="32" t="str">
        <f>COMPOSIÇÃO!F19</f>
        <v>UN</v>
      </c>
      <c r="F99" s="193">
        <v>4</v>
      </c>
      <c r="G99" s="52">
        <f>COMPOSIÇÃO!H25</f>
        <v>0.44</v>
      </c>
      <c r="H99" s="22">
        <f t="shared" si="30"/>
        <v>0.54357600000000006</v>
      </c>
      <c r="I99" s="22">
        <f t="shared" si="31"/>
        <v>2.1743040000000002</v>
      </c>
    </row>
    <row r="100" spans="1:9" s="6" customFormat="1" ht="25.5">
      <c r="A100" s="23" t="s">
        <v>738</v>
      </c>
      <c r="B100" s="78" t="s">
        <v>274</v>
      </c>
      <c r="C100" s="229" t="str">
        <f>COMPOSIÇÃO!B27</f>
        <v>404/1</v>
      </c>
      <c r="D100" s="251" t="str">
        <f>COMPOSIÇÃO!C27</f>
        <v>FITA ISOLANTE DE BORRACHA AUTOFUSAO, USO ATE 69 KV (ALTA TENSAO)</v>
      </c>
      <c r="E100" s="32" t="str">
        <f>COMPOSIÇÃO!F27</f>
        <v>M</v>
      </c>
      <c r="F100" s="193">
        <v>20</v>
      </c>
      <c r="G100" s="52">
        <f>COMPOSIÇÃO!H33</f>
        <v>2.08</v>
      </c>
      <c r="H100" s="22">
        <f t="shared" si="30"/>
        <v>2.5696320000000004</v>
      </c>
      <c r="I100" s="22">
        <f t="shared" si="31"/>
        <v>51.392640000000007</v>
      </c>
    </row>
    <row r="101" spans="1:9" s="6" customFormat="1" ht="38.25">
      <c r="A101" s="23" t="s">
        <v>739</v>
      </c>
      <c r="B101" s="218" t="s">
        <v>678</v>
      </c>
      <c r="C101" s="188" t="s">
        <v>101</v>
      </c>
      <c r="D101" s="192" t="s">
        <v>156</v>
      </c>
      <c r="E101" s="32" t="s">
        <v>33</v>
      </c>
      <c r="F101" s="193">
        <v>384.3</v>
      </c>
      <c r="G101" s="52">
        <v>3.94</v>
      </c>
      <c r="H101" s="22">
        <f t="shared" si="30"/>
        <v>4.8674759999999999</v>
      </c>
      <c r="I101" s="22">
        <f t="shared" si="31"/>
        <v>1870.5710268</v>
      </c>
    </row>
    <row r="102" spans="1:9" s="6" customFormat="1" ht="38.25">
      <c r="A102" s="23" t="s">
        <v>740</v>
      </c>
      <c r="B102" s="218" t="s">
        <v>678</v>
      </c>
      <c r="C102" s="188" t="s">
        <v>102</v>
      </c>
      <c r="D102" s="192" t="s">
        <v>150</v>
      </c>
      <c r="E102" s="32" t="s">
        <v>33</v>
      </c>
      <c r="F102" s="193">
        <v>346.9</v>
      </c>
      <c r="G102" s="52">
        <v>5.36</v>
      </c>
      <c r="H102" s="22">
        <f t="shared" si="30"/>
        <v>6.6217440000000005</v>
      </c>
      <c r="I102" s="22">
        <f t="shared" si="31"/>
        <v>2297.0829936</v>
      </c>
    </row>
    <row r="103" spans="1:9" s="6" customFormat="1" ht="38.25">
      <c r="A103" s="23" t="s">
        <v>741</v>
      </c>
      <c r="B103" s="218" t="s">
        <v>678</v>
      </c>
      <c r="C103" s="188" t="s">
        <v>157</v>
      </c>
      <c r="D103" s="192" t="s">
        <v>158</v>
      </c>
      <c r="E103" s="32" t="s">
        <v>33</v>
      </c>
      <c r="F103" s="193">
        <v>429.1</v>
      </c>
      <c r="G103" s="52">
        <v>5.4</v>
      </c>
      <c r="H103" s="22">
        <f t="shared" si="30"/>
        <v>6.6711600000000004</v>
      </c>
      <c r="I103" s="22">
        <f t="shared" si="31"/>
        <v>2862.5947560000004</v>
      </c>
    </row>
    <row r="104" spans="1:9" s="6" customFormat="1" ht="51">
      <c r="A104" s="23" t="s">
        <v>742</v>
      </c>
      <c r="B104" s="229" t="s">
        <v>678</v>
      </c>
      <c r="C104" s="229" t="s">
        <v>772</v>
      </c>
      <c r="D104" s="192" t="s">
        <v>773</v>
      </c>
      <c r="E104" s="32" t="s">
        <v>33</v>
      </c>
      <c r="F104" s="193">
        <v>158.1</v>
      </c>
      <c r="G104" s="52">
        <v>10.31</v>
      </c>
      <c r="H104" s="22">
        <f t="shared" si="30"/>
        <v>12.736974000000002</v>
      </c>
      <c r="I104" s="22">
        <f t="shared" si="31"/>
        <v>2013.7155894000002</v>
      </c>
    </row>
    <row r="105" spans="1:9" s="6" customFormat="1" ht="25.5">
      <c r="A105" s="23" t="s">
        <v>743</v>
      </c>
      <c r="B105" s="229" t="s">
        <v>678</v>
      </c>
      <c r="C105" s="229" t="s">
        <v>774</v>
      </c>
      <c r="D105" s="192" t="s">
        <v>775</v>
      </c>
      <c r="E105" s="32" t="s">
        <v>44</v>
      </c>
      <c r="F105" s="193">
        <v>1</v>
      </c>
      <c r="G105" s="52">
        <v>5.39</v>
      </c>
      <c r="H105" s="22">
        <f t="shared" si="30"/>
        <v>6.6588060000000002</v>
      </c>
      <c r="I105" s="22">
        <f t="shared" si="31"/>
        <v>6.6588060000000002</v>
      </c>
    </row>
    <row r="106" spans="1:9" s="6" customFormat="1" ht="25.5">
      <c r="A106" s="23" t="s">
        <v>744</v>
      </c>
      <c r="B106" s="229" t="s">
        <v>678</v>
      </c>
      <c r="C106" s="229" t="s">
        <v>142</v>
      </c>
      <c r="D106" s="192" t="s">
        <v>143</v>
      </c>
      <c r="E106" s="32" t="s">
        <v>44</v>
      </c>
      <c r="F106" s="193">
        <f>18+4</f>
        <v>22</v>
      </c>
      <c r="G106" s="52">
        <v>6.84</v>
      </c>
      <c r="H106" s="22">
        <f t="shared" si="30"/>
        <v>8.4501360000000005</v>
      </c>
      <c r="I106" s="22">
        <f t="shared" si="31"/>
        <v>185.90299200000001</v>
      </c>
    </row>
    <row r="107" spans="1:9" s="6" customFormat="1" ht="25.5">
      <c r="A107" s="23" t="s">
        <v>745</v>
      </c>
      <c r="B107" s="218" t="s">
        <v>678</v>
      </c>
      <c r="C107" s="188" t="s">
        <v>144</v>
      </c>
      <c r="D107" s="192" t="s">
        <v>145</v>
      </c>
      <c r="E107" s="32" t="s">
        <v>44</v>
      </c>
      <c r="F107" s="193">
        <f>4+1</f>
        <v>5</v>
      </c>
      <c r="G107" s="52">
        <v>4.8099999999999996</v>
      </c>
      <c r="H107" s="22">
        <f t="shared" si="30"/>
        <v>5.9422739999999994</v>
      </c>
      <c r="I107" s="22">
        <f t="shared" si="31"/>
        <v>29.711369999999995</v>
      </c>
    </row>
    <row r="108" spans="1:9" s="6" customFormat="1" ht="25.5">
      <c r="A108" s="23" t="s">
        <v>746</v>
      </c>
      <c r="B108" s="218" t="s">
        <v>678</v>
      </c>
      <c r="C108" s="188" t="s">
        <v>506</v>
      </c>
      <c r="D108" s="192" t="s">
        <v>507</v>
      </c>
      <c r="E108" s="32" t="s">
        <v>44</v>
      </c>
      <c r="F108" s="193">
        <v>1</v>
      </c>
      <c r="G108" s="52">
        <v>6.01</v>
      </c>
      <c r="H108" s="22">
        <f t="shared" si="30"/>
        <v>7.4247540000000001</v>
      </c>
      <c r="I108" s="22">
        <f t="shared" si="31"/>
        <v>7.4247540000000001</v>
      </c>
    </row>
    <row r="109" spans="1:9" s="6" customFormat="1" ht="25.5">
      <c r="A109" s="23" t="s">
        <v>747</v>
      </c>
      <c r="B109" s="188" t="s">
        <v>31</v>
      </c>
      <c r="C109" s="188" t="s">
        <v>508</v>
      </c>
      <c r="D109" s="192" t="s">
        <v>509</v>
      </c>
      <c r="E109" s="32" t="s">
        <v>44</v>
      </c>
      <c r="F109" s="193">
        <v>4</v>
      </c>
      <c r="G109" s="52">
        <v>26.38</v>
      </c>
      <c r="H109" s="22">
        <f t="shared" si="30"/>
        <v>32.589852</v>
      </c>
      <c r="I109" s="22">
        <f t="shared" si="31"/>
        <v>130.359408</v>
      </c>
    </row>
    <row r="110" spans="1:9" s="6" customFormat="1" ht="38.25">
      <c r="A110" s="23" t="s">
        <v>748</v>
      </c>
      <c r="B110" s="229" t="s">
        <v>31</v>
      </c>
      <c r="C110" s="229" t="s">
        <v>174</v>
      </c>
      <c r="D110" s="192" t="s">
        <v>175</v>
      </c>
      <c r="E110" s="32" t="s">
        <v>44</v>
      </c>
      <c r="F110" s="193">
        <v>4</v>
      </c>
      <c r="G110" s="52">
        <v>41.35</v>
      </c>
      <c r="H110" s="22">
        <f t="shared" si="30"/>
        <v>51.08379</v>
      </c>
      <c r="I110" s="22">
        <f t="shared" si="31"/>
        <v>204.33516</v>
      </c>
    </row>
    <row r="111" spans="1:9" s="6" customFormat="1" ht="38.25">
      <c r="A111" s="23" t="s">
        <v>749</v>
      </c>
      <c r="B111" s="229" t="s">
        <v>31</v>
      </c>
      <c r="C111" s="229">
        <v>91957</v>
      </c>
      <c r="D111" s="192" t="s">
        <v>776</v>
      </c>
      <c r="E111" s="32" t="s">
        <v>44</v>
      </c>
      <c r="F111" s="193">
        <v>1</v>
      </c>
      <c r="G111" s="52">
        <v>53.79</v>
      </c>
      <c r="H111" s="22">
        <f t="shared" si="30"/>
        <v>66.452166000000005</v>
      </c>
      <c r="I111" s="22">
        <f t="shared" si="31"/>
        <v>66.452166000000005</v>
      </c>
    </row>
    <row r="112" spans="1:9" s="6" customFormat="1" ht="38.25">
      <c r="A112" s="23" t="s">
        <v>750</v>
      </c>
      <c r="B112" s="229" t="s">
        <v>31</v>
      </c>
      <c r="C112" s="229" t="s">
        <v>510</v>
      </c>
      <c r="D112" s="192" t="s">
        <v>511</v>
      </c>
      <c r="E112" s="32" t="s">
        <v>44</v>
      </c>
      <c r="F112" s="193">
        <v>1</v>
      </c>
      <c r="G112" s="52">
        <v>70.98</v>
      </c>
      <c r="H112" s="22">
        <f t="shared" si="30"/>
        <v>87.688692000000003</v>
      </c>
      <c r="I112" s="22">
        <f t="shared" si="31"/>
        <v>87.688692000000003</v>
      </c>
    </row>
    <row r="113" spans="1:9" s="6" customFormat="1" ht="38.25">
      <c r="A113" s="23" t="s">
        <v>751</v>
      </c>
      <c r="B113" s="218" t="s">
        <v>678</v>
      </c>
      <c r="C113" s="188" t="s">
        <v>176</v>
      </c>
      <c r="D113" s="192" t="s">
        <v>177</v>
      </c>
      <c r="E113" s="32" t="s">
        <v>44</v>
      </c>
      <c r="F113" s="193">
        <v>11</v>
      </c>
      <c r="G113" s="52">
        <v>13.52</v>
      </c>
      <c r="H113" s="22">
        <f t="shared" si="30"/>
        <v>16.702608000000001</v>
      </c>
      <c r="I113" s="22">
        <f t="shared" si="31"/>
        <v>183.72868800000001</v>
      </c>
    </row>
    <row r="114" spans="1:9" s="6" customFormat="1" ht="38.25">
      <c r="A114" s="23" t="s">
        <v>752</v>
      </c>
      <c r="B114" s="265" t="s">
        <v>678</v>
      </c>
      <c r="C114" s="265" t="s">
        <v>923</v>
      </c>
      <c r="D114" s="192" t="s">
        <v>924</v>
      </c>
      <c r="E114" s="32" t="s">
        <v>44</v>
      </c>
      <c r="F114" s="193">
        <v>7</v>
      </c>
      <c r="G114" s="52">
        <v>18.12</v>
      </c>
      <c r="H114" s="22">
        <f t="shared" ref="H114" si="32">G114*(1+$I$6)</f>
        <v>22.385448000000004</v>
      </c>
      <c r="I114" s="22">
        <f t="shared" ref="I114" si="33">H114*F114</f>
        <v>156.69813600000003</v>
      </c>
    </row>
    <row r="115" spans="1:9" s="6" customFormat="1" ht="25.5">
      <c r="A115" s="23" t="s">
        <v>753</v>
      </c>
      <c r="B115" s="218" t="s">
        <v>678</v>
      </c>
      <c r="C115" s="188" t="s">
        <v>521</v>
      </c>
      <c r="D115" s="192" t="s">
        <v>522</v>
      </c>
      <c r="E115" s="32" t="s">
        <v>44</v>
      </c>
      <c r="F115" s="193">
        <v>4</v>
      </c>
      <c r="G115" s="52">
        <v>13.37</v>
      </c>
      <c r="H115" s="22">
        <f t="shared" si="30"/>
        <v>16.517298</v>
      </c>
      <c r="I115" s="22">
        <f t="shared" si="31"/>
        <v>66.069192000000001</v>
      </c>
    </row>
    <row r="116" spans="1:9" s="6" customFormat="1" ht="25.5">
      <c r="A116" s="23" t="s">
        <v>754</v>
      </c>
      <c r="B116" s="218" t="s">
        <v>678</v>
      </c>
      <c r="C116" s="188" t="s">
        <v>523</v>
      </c>
      <c r="D116" s="192" t="s">
        <v>524</v>
      </c>
      <c r="E116" s="32" t="s">
        <v>44</v>
      </c>
      <c r="F116" s="193">
        <v>1</v>
      </c>
      <c r="G116" s="52">
        <v>13.37</v>
      </c>
      <c r="H116" s="22">
        <f t="shared" si="30"/>
        <v>16.517298</v>
      </c>
      <c r="I116" s="22">
        <f t="shared" si="31"/>
        <v>16.517298</v>
      </c>
    </row>
    <row r="117" spans="1:9" s="6" customFormat="1" ht="25.5">
      <c r="A117" s="23" t="s">
        <v>755</v>
      </c>
      <c r="B117" s="229" t="s">
        <v>678</v>
      </c>
      <c r="C117" s="229" t="s">
        <v>777</v>
      </c>
      <c r="D117" s="192" t="s">
        <v>778</v>
      </c>
      <c r="E117" s="32" t="s">
        <v>44</v>
      </c>
      <c r="F117" s="193">
        <v>1</v>
      </c>
      <c r="G117" s="52">
        <v>43.64</v>
      </c>
      <c r="H117" s="22">
        <f t="shared" si="30"/>
        <v>53.912856000000005</v>
      </c>
      <c r="I117" s="22">
        <f t="shared" si="31"/>
        <v>53.912856000000005</v>
      </c>
    </row>
    <row r="118" spans="1:9" s="6" customFormat="1" ht="25.5">
      <c r="A118" s="23" t="s">
        <v>756</v>
      </c>
      <c r="B118" s="265" t="s">
        <v>678</v>
      </c>
      <c r="C118" s="265" t="s">
        <v>926</v>
      </c>
      <c r="D118" s="192" t="s">
        <v>927</v>
      </c>
      <c r="E118" s="32" t="s">
        <v>44</v>
      </c>
      <c r="F118" s="193">
        <v>7</v>
      </c>
      <c r="G118" s="52">
        <v>52.38</v>
      </c>
      <c r="H118" s="22">
        <f t="shared" ref="H118:H119" si="34">G118*(1+$I$6)</f>
        <v>64.710252000000011</v>
      </c>
      <c r="I118" s="22">
        <f t="shared" ref="I118:I119" si="35">H118*F118</f>
        <v>452.97176400000006</v>
      </c>
    </row>
    <row r="119" spans="1:9" s="6" customFormat="1" ht="25.5">
      <c r="A119" s="23" t="s">
        <v>757</v>
      </c>
      <c r="B119" s="265" t="s">
        <v>678</v>
      </c>
      <c r="C119" s="265" t="s">
        <v>928</v>
      </c>
      <c r="D119" s="192" t="s">
        <v>929</v>
      </c>
      <c r="E119" s="32" t="s">
        <v>44</v>
      </c>
      <c r="F119" s="193">
        <v>1</v>
      </c>
      <c r="G119" s="52">
        <v>46.89</v>
      </c>
      <c r="H119" s="22">
        <f t="shared" si="34"/>
        <v>57.927906</v>
      </c>
      <c r="I119" s="22">
        <f t="shared" si="35"/>
        <v>57.927906</v>
      </c>
    </row>
    <row r="120" spans="1:9" s="6" customFormat="1" ht="25.5">
      <c r="A120" s="23" t="s">
        <v>758</v>
      </c>
      <c r="B120" s="218" t="s">
        <v>678</v>
      </c>
      <c r="C120" s="188" t="s">
        <v>152</v>
      </c>
      <c r="D120" s="192" t="s">
        <v>153</v>
      </c>
      <c r="E120" s="32" t="s">
        <v>33</v>
      </c>
      <c r="F120" s="193">
        <v>61.5</v>
      </c>
      <c r="G120" s="52">
        <v>11.94</v>
      </c>
      <c r="H120" s="22">
        <f t="shared" si="30"/>
        <v>14.750676</v>
      </c>
      <c r="I120" s="22">
        <f t="shared" si="31"/>
        <v>907.16657399999997</v>
      </c>
    </row>
    <row r="121" spans="1:9" s="6" customFormat="1" ht="25.5">
      <c r="A121" s="23" t="s">
        <v>759</v>
      </c>
      <c r="B121" s="218" t="s">
        <v>678</v>
      </c>
      <c r="C121" s="188" t="s">
        <v>103</v>
      </c>
      <c r="D121" s="192" t="s">
        <v>151</v>
      </c>
      <c r="E121" s="32" t="s">
        <v>33</v>
      </c>
      <c r="F121" s="193">
        <v>128.6</v>
      </c>
      <c r="G121" s="52">
        <v>8.4600000000000009</v>
      </c>
      <c r="H121" s="22">
        <f t="shared" si="30"/>
        <v>10.451484000000001</v>
      </c>
      <c r="I121" s="22">
        <f t="shared" si="31"/>
        <v>1344.0608424</v>
      </c>
    </row>
    <row r="122" spans="1:9" s="6" customFormat="1" ht="38.25">
      <c r="A122" s="23" t="s">
        <v>760</v>
      </c>
      <c r="B122" s="218" t="s">
        <v>678</v>
      </c>
      <c r="C122" s="188" t="s">
        <v>411</v>
      </c>
      <c r="D122" s="192" t="s">
        <v>412</v>
      </c>
      <c r="E122" s="32" t="s">
        <v>44</v>
      </c>
      <c r="F122" s="193">
        <v>4</v>
      </c>
      <c r="G122" s="52">
        <v>46.55</v>
      </c>
      <c r="H122" s="22">
        <f t="shared" si="30"/>
        <v>57.507869999999997</v>
      </c>
      <c r="I122" s="22">
        <f t="shared" si="31"/>
        <v>230.03147999999999</v>
      </c>
    </row>
    <row r="123" spans="1:9" s="6" customFormat="1" ht="51">
      <c r="A123" s="23" t="s">
        <v>761</v>
      </c>
      <c r="B123" s="237" t="s">
        <v>678</v>
      </c>
      <c r="C123" s="237" t="s">
        <v>409</v>
      </c>
      <c r="D123" s="192" t="s">
        <v>410</v>
      </c>
      <c r="E123" s="32" t="s">
        <v>44</v>
      </c>
      <c r="F123" s="193">
        <v>9</v>
      </c>
      <c r="G123" s="52">
        <v>184.13</v>
      </c>
      <c r="H123" s="22">
        <f t="shared" si="30"/>
        <v>227.47420199999999</v>
      </c>
      <c r="I123" s="22">
        <f t="shared" si="31"/>
        <v>2047.2678179999998</v>
      </c>
    </row>
    <row r="124" spans="1:9" s="6" customFormat="1" ht="51">
      <c r="A124" s="23" t="s">
        <v>762</v>
      </c>
      <c r="B124" s="237" t="s">
        <v>678</v>
      </c>
      <c r="C124" s="237" t="s">
        <v>779</v>
      </c>
      <c r="D124" s="192" t="s">
        <v>780</v>
      </c>
      <c r="E124" s="32" t="s">
        <v>44</v>
      </c>
      <c r="F124" s="193">
        <v>3</v>
      </c>
      <c r="G124" s="52">
        <v>579.83000000000004</v>
      </c>
      <c r="H124" s="22">
        <f t="shared" si="30"/>
        <v>716.32198200000005</v>
      </c>
      <c r="I124" s="22">
        <f t="shared" si="31"/>
        <v>2148.9659460000003</v>
      </c>
    </row>
    <row r="125" spans="1:9" s="6" customFormat="1" ht="25.5">
      <c r="A125" s="23" t="s">
        <v>925</v>
      </c>
      <c r="B125" s="188" t="s">
        <v>31</v>
      </c>
      <c r="C125" s="188" t="s">
        <v>413</v>
      </c>
      <c r="D125" s="192" t="s">
        <v>414</v>
      </c>
      <c r="E125" s="32" t="s">
        <v>44</v>
      </c>
      <c r="F125" s="193">
        <v>3</v>
      </c>
      <c r="G125" s="52" t="s">
        <v>525</v>
      </c>
      <c r="H125" s="22">
        <f t="shared" si="30"/>
        <v>17.863884000000002</v>
      </c>
      <c r="I125" s="22">
        <f t="shared" si="31"/>
        <v>53.591652000000011</v>
      </c>
    </row>
    <row r="126" spans="1:9" s="6" customFormat="1" ht="38.25">
      <c r="A126" s="23" t="s">
        <v>934</v>
      </c>
      <c r="B126" s="218" t="s">
        <v>678</v>
      </c>
      <c r="C126" s="188" t="s">
        <v>415</v>
      </c>
      <c r="D126" s="192" t="s">
        <v>416</v>
      </c>
      <c r="E126" s="32" t="s">
        <v>44</v>
      </c>
      <c r="F126" s="193">
        <v>1</v>
      </c>
      <c r="G126" s="52">
        <v>12.68</v>
      </c>
      <c r="H126" s="22">
        <f t="shared" si="30"/>
        <v>15.664872000000001</v>
      </c>
      <c r="I126" s="22">
        <f t="shared" si="31"/>
        <v>15.664872000000001</v>
      </c>
    </row>
    <row r="127" spans="1:9" s="6" customFormat="1" ht="38.25">
      <c r="A127" s="23" t="s">
        <v>935</v>
      </c>
      <c r="B127" s="229" t="s">
        <v>31</v>
      </c>
      <c r="C127" s="229" t="s">
        <v>781</v>
      </c>
      <c r="D127" s="192" t="s">
        <v>782</v>
      </c>
      <c r="E127" s="32" t="s">
        <v>44</v>
      </c>
      <c r="F127" s="193">
        <v>1</v>
      </c>
      <c r="G127" s="52">
        <v>113.14</v>
      </c>
      <c r="H127" s="22">
        <f t="shared" si="30"/>
        <v>139.773156</v>
      </c>
      <c r="I127" s="22">
        <f t="shared" si="31"/>
        <v>139.773156</v>
      </c>
    </row>
    <row r="128" spans="1:9" s="1" customFormat="1" ht="14.25">
      <c r="A128" s="287" t="s">
        <v>61</v>
      </c>
      <c r="B128" s="288"/>
      <c r="C128" s="288"/>
      <c r="D128" s="288"/>
      <c r="E128" s="24" t="str">
        <f>A95</f>
        <v>8.</v>
      </c>
      <c r="F128" s="25"/>
      <c r="G128" s="289">
        <f>ROUND(SUM(I96:I127),2)</f>
        <v>18350.939999999999</v>
      </c>
      <c r="H128" s="290"/>
      <c r="I128" s="7"/>
    </row>
    <row r="129" spans="1:9" s="1" customFormat="1" ht="14.25">
      <c r="A129" s="20" t="s">
        <v>704</v>
      </c>
      <c r="B129" s="296" t="s">
        <v>105</v>
      </c>
      <c r="C129" s="297"/>
      <c r="D129" s="297"/>
      <c r="E129" s="297"/>
      <c r="F129" s="297"/>
      <c r="G129" s="297"/>
      <c r="H129" s="298"/>
      <c r="I129" s="26"/>
    </row>
    <row r="130" spans="1:9" s="1" customFormat="1" ht="14.25">
      <c r="A130" s="27" t="s">
        <v>705</v>
      </c>
      <c r="B130" s="27"/>
      <c r="C130" s="28" t="s">
        <v>107</v>
      </c>
      <c r="D130" s="29"/>
      <c r="E130" s="30"/>
      <c r="F130" s="30"/>
      <c r="G130" s="30"/>
      <c r="H130" s="22"/>
      <c r="I130" s="22"/>
    </row>
    <row r="131" spans="1:9" s="6" customFormat="1" ht="51">
      <c r="A131" s="229" t="s">
        <v>706</v>
      </c>
      <c r="B131" s="229" t="s">
        <v>31</v>
      </c>
      <c r="C131" s="229">
        <v>86919</v>
      </c>
      <c r="D131" s="192" t="s">
        <v>798</v>
      </c>
      <c r="E131" s="32" t="s">
        <v>44</v>
      </c>
      <c r="F131" s="193">
        <f>'MEMORIA DE CÁLCULO'!M821</f>
        <v>2</v>
      </c>
      <c r="G131" s="52">
        <v>1014.35</v>
      </c>
      <c r="H131" s="193">
        <f t="shared" ref="H131" si="36">G131*(1+$I$6)</f>
        <v>1253.1279900000002</v>
      </c>
      <c r="I131" s="193">
        <f t="shared" ref="I131" si="37">H131*F131</f>
        <v>2506.2559800000004</v>
      </c>
    </row>
    <row r="132" spans="1:9" s="6" customFormat="1" ht="64.5" customHeight="1">
      <c r="A132" s="265" t="s">
        <v>801</v>
      </c>
      <c r="B132" s="23" t="s">
        <v>678</v>
      </c>
      <c r="C132" s="203" t="s">
        <v>796</v>
      </c>
      <c r="D132" s="204" t="s">
        <v>797</v>
      </c>
      <c r="E132" s="32" t="s">
        <v>44</v>
      </c>
      <c r="F132" s="32">
        <f>'MEMORIA DE CÁLCULO'!M838</f>
        <v>1</v>
      </c>
      <c r="G132" s="52">
        <v>532.15</v>
      </c>
      <c r="H132" s="193">
        <f t="shared" ref="H132:H146" si="38">G132*(1+$I$6)</f>
        <v>657.41810999999996</v>
      </c>
      <c r="I132" s="193">
        <f t="shared" ref="I132:I146" si="39">H132*F132</f>
        <v>657.41810999999996</v>
      </c>
    </row>
    <row r="133" spans="1:9" s="6" customFormat="1" ht="38.25">
      <c r="A133" s="265" t="s">
        <v>802</v>
      </c>
      <c r="B133" s="23" t="s">
        <v>31</v>
      </c>
      <c r="C133" s="203" t="s">
        <v>434</v>
      </c>
      <c r="D133" s="204" t="s">
        <v>435</v>
      </c>
      <c r="E133" s="32" t="s">
        <v>44</v>
      </c>
      <c r="F133" s="32">
        <f>'MEMORIA DE CÁLCULO'!M838</f>
        <v>1</v>
      </c>
      <c r="G133" s="52" t="s">
        <v>528</v>
      </c>
      <c r="H133" s="193">
        <f t="shared" si="38"/>
        <v>300.47398800000002</v>
      </c>
      <c r="I133" s="193">
        <f t="shared" si="39"/>
        <v>300.47398800000002</v>
      </c>
    </row>
    <row r="134" spans="1:9" s="6" customFormat="1" ht="26.25" customHeight="1">
      <c r="A134" s="265" t="s">
        <v>707</v>
      </c>
      <c r="B134" s="23" t="s">
        <v>31</v>
      </c>
      <c r="C134" s="203">
        <v>36796</v>
      </c>
      <c r="D134" s="204" t="s">
        <v>331</v>
      </c>
      <c r="E134" s="32" t="s">
        <v>44</v>
      </c>
      <c r="F134" s="32">
        <f>'MEMORIA DE CÁLCULO'!M851</f>
        <v>3</v>
      </c>
      <c r="G134" s="52" t="s">
        <v>442</v>
      </c>
      <c r="H134" s="193">
        <f t="shared" si="38"/>
        <v>172.90658400000001</v>
      </c>
      <c r="I134" s="193">
        <f t="shared" si="39"/>
        <v>518.71975199999997</v>
      </c>
    </row>
    <row r="135" spans="1:9" s="6" customFormat="1" ht="38.25">
      <c r="A135" s="265" t="s">
        <v>708</v>
      </c>
      <c r="B135" s="23" t="s">
        <v>678</v>
      </c>
      <c r="C135" s="203" t="s">
        <v>785</v>
      </c>
      <c r="D135" s="204" t="s">
        <v>786</v>
      </c>
      <c r="E135" s="32" t="s">
        <v>44</v>
      </c>
      <c r="F135" s="32">
        <f>'MEMORIA DE CÁLCULO'!M858</f>
        <v>1</v>
      </c>
      <c r="G135" s="52">
        <v>946.04</v>
      </c>
      <c r="H135" s="193">
        <f t="shared" si="38"/>
        <v>1168.7378160000001</v>
      </c>
      <c r="I135" s="193">
        <f t="shared" si="39"/>
        <v>1168.7378160000001</v>
      </c>
    </row>
    <row r="136" spans="1:9" s="6" customFormat="1" ht="25.5">
      <c r="A136" s="265" t="s">
        <v>709</v>
      </c>
      <c r="B136" s="23" t="s">
        <v>678</v>
      </c>
      <c r="C136" s="203" t="s">
        <v>787</v>
      </c>
      <c r="D136" s="204" t="s">
        <v>788</v>
      </c>
      <c r="E136" s="32" t="s">
        <v>44</v>
      </c>
      <c r="F136" s="32">
        <f>'MEMORIA DE CÁLCULO'!M865</f>
        <v>1</v>
      </c>
      <c r="G136" s="52">
        <v>134.13999999999999</v>
      </c>
      <c r="H136" s="193">
        <f t="shared" si="38"/>
        <v>165.716556</v>
      </c>
      <c r="I136" s="193">
        <f t="shared" si="39"/>
        <v>165.716556</v>
      </c>
    </row>
    <row r="137" spans="1:9" s="6" customFormat="1" ht="26.25" customHeight="1">
      <c r="A137" s="265" t="s">
        <v>710</v>
      </c>
      <c r="B137" s="23" t="s">
        <v>678</v>
      </c>
      <c r="C137" s="203" t="s">
        <v>461</v>
      </c>
      <c r="D137" s="204" t="s">
        <v>462</v>
      </c>
      <c r="E137" s="32" t="s">
        <v>44</v>
      </c>
      <c r="F137" s="32">
        <f>'MEMORIA DE CÁLCULO'!M879</f>
        <v>3</v>
      </c>
      <c r="G137" s="52">
        <v>157.87</v>
      </c>
      <c r="H137" s="193">
        <f t="shared" si="38"/>
        <v>195.03259800000001</v>
      </c>
      <c r="I137" s="193">
        <f t="shared" si="39"/>
        <v>585.09779400000002</v>
      </c>
    </row>
    <row r="138" spans="1:9" s="6" customFormat="1" ht="38.25">
      <c r="A138" s="265" t="s">
        <v>711</v>
      </c>
      <c r="B138" s="23" t="s">
        <v>678</v>
      </c>
      <c r="C138" s="203" t="s">
        <v>789</v>
      </c>
      <c r="D138" s="204" t="s">
        <v>790</v>
      </c>
      <c r="E138" s="32" t="s">
        <v>44</v>
      </c>
      <c r="F138" s="32">
        <f>'MEMORIA DE CÁLCULO'!M892</f>
        <v>3</v>
      </c>
      <c r="G138" s="52">
        <v>580.03</v>
      </c>
      <c r="H138" s="193">
        <f t="shared" si="38"/>
        <v>716.56906200000003</v>
      </c>
      <c r="I138" s="193">
        <f t="shared" si="39"/>
        <v>2149.7071860000001</v>
      </c>
    </row>
    <row r="139" spans="1:9" s="6" customFormat="1" ht="25.5">
      <c r="A139" s="265" t="s">
        <v>712</v>
      </c>
      <c r="B139" s="23" t="s">
        <v>678</v>
      </c>
      <c r="C139" s="203" t="s">
        <v>799</v>
      </c>
      <c r="D139" s="204" t="s">
        <v>800</v>
      </c>
      <c r="E139" s="32" t="s">
        <v>44</v>
      </c>
      <c r="F139" s="32">
        <f>'MEMORIA DE CÁLCULO'!M905</f>
        <v>3</v>
      </c>
      <c r="G139" s="52">
        <v>40.299999999999997</v>
      </c>
      <c r="H139" s="193">
        <f t="shared" si="38"/>
        <v>49.786619999999999</v>
      </c>
      <c r="I139" s="193">
        <f t="shared" si="39"/>
        <v>149.35986</v>
      </c>
    </row>
    <row r="140" spans="1:9" s="6" customFormat="1" ht="38.25">
      <c r="A140" s="265" t="s">
        <v>713</v>
      </c>
      <c r="B140" s="23" t="s">
        <v>678</v>
      </c>
      <c r="C140" s="203" t="s">
        <v>132</v>
      </c>
      <c r="D140" s="204" t="s">
        <v>133</v>
      </c>
      <c r="E140" s="32" t="s">
        <v>44</v>
      </c>
      <c r="F140" s="32">
        <v>1</v>
      </c>
      <c r="G140" s="52">
        <v>59.66</v>
      </c>
      <c r="H140" s="193">
        <f t="shared" si="38"/>
        <v>73.703963999999999</v>
      </c>
      <c r="I140" s="193">
        <f t="shared" si="39"/>
        <v>73.703963999999999</v>
      </c>
    </row>
    <row r="141" spans="1:9" s="6" customFormat="1" ht="38.25">
      <c r="A141" s="265" t="s">
        <v>714</v>
      </c>
      <c r="B141" s="23" t="s">
        <v>678</v>
      </c>
      <c r="C141" s="203" t="s">
        <v>791</v>
      </c>
      <c r="D141" s="204" t="s">
        <v>792</v>
      </c>
      <c r="E141" s="32" t="s">
        <v>44</v>
      </c>
      <c r="F141" s="32">
        <v>5</v>
      </c>
      <c r="G141" s="52">
        <v>63.55</v>
      </c>
      <c r="H141" s="193">
        <f t="shared" si="38"/>
        <v>78.50967</v>
      </c>
      <c r="I141" s="193">
        <f t="shared" si="39"/>
        <v>392.54835000000003</v>
      </c>
    </row>
    <row r="142" spans="1:9" s="6" customFormat="1" ht="38.25">
      <c r="A142" s="265" t="s">
        <v>715</v>
      </c>
      <c r="B142" s="23" t="s">
        <v>678</v>
      </c>
      <c r="C142" s="203" t="s">
        <v>793</v>
      </c>
      <c r="D142" s="204" t="s">
        <v>794</v>
      </c>
      <c r="E142" s="32" t="s">
        <v>44</v>
      </c>
      <c r="F142" s="32">
        <v>1</v>
      </c>
      <c r="G142" s="52">
        <v>98.97</v>
      </c>
      <c r="H142" s="193">
        <f t="shared" si="38"/>
        <v>122.267538</v>
      </c>
      <c r="I142" s="193">
        <f t="shared" si="39"/>
        <v>122.267538</v>
      </c>
    </row>
    <row r="143" spans="1:9" s="6" customFormat="1" ht="25.5">
      <c r="A143" s="265" t="s">
        <v>716</v>
      </c>
      <c r="B143" s="188" t="s">
        <v>31</v>
      </c>
      <c r="C143" s="188">
        <v>6140</v>
      </c>
      <c r="D143" s="192" t="s">
        <v>146</v>
      </c>
      <c r="E143" s="32" t="s">
        <v>44</v>
      </c>
      <c r="F143" s="193">
        <v>3</v>
      </c>
      <c r="G143" s="52" t="s">
        <v>526</v>
      </c>
      <c r="H143" s="193">
        <f t="shared" si="38"/>
        <v>5.3122199999999999</v>
      </c>
      <c r="I143" s="193">
        <f t="shared" si="39"/>
        <v>15.93666</v>
      </c>
    </row>
    <row r="144" spans="1:9" s="6" customFormat="1" ht="25.5">
      <c r="A144" s="265" t="s">
        <v>717</v>
      </c>
      <c r="B144" s="188" t="s">
        <v>31</v>
      </c>
      <c r="C144" s="188" t="s">
        <v>159</v>
      </c>
      <c r="D144" s="192" t="s">
        <v>160</v>
      </c>
      <c r="E144" s="32" t="s">
        <v>44</v>
      </c>
      <c r="F144" s="193">
        <f>F131+F134+F135</f>
        <v>6</v>
      </c>
      <c r="G144" s="52" t="s">
        <v>527</v>
      </c>
      <c r="H144" s="193">
        <f t="shared" si="38"/>
        <v>13.045824000000001</v>
      </c>
      <c r="I144" s="193">
        <f t="shared" si="39"/>
        <v>78.274944000000005</v>
      </c>
    </row>
    <row r="145" spans="1:9" s="6" customFormat="1" ht="25.5">
      <c r="A145" s="265" t="s">
        <v>718</v>
      </c>
      <c r="B145" s="23" t="s">
        <v>678</v>
      </c>
      <c r="C145" s="229" t="s">
        <v>106</v>
      </c>
      <c r="D145" s="192" t="s">
        <v>795</v>
      </c>
      <c r="E145" s="32" t="s">
        <v>33</v>
      </c>
      <c r="F145" s="193">
        <v>9.43</v>
      </c>
      <c r="G145" s="252">
        <v>22.67</v>
      </c>
      <c r="H145" s="193">
        <f t="shared" si="38"/>
        <v>28.006518000000003</v>
      </c>
      <c r="I145" s="193">
        <f t="shared" si="39"/>
        <v>264.10146474000004</v>
      </c>
    </row>
    <row r="146" spans="1:9" s="6" customFormat="1" ht="25.5">
      <c r="A146" s="265" t="s">
        <v>803</v>
      </c>
      <c r="B146" s="218" t="s">
        <v>678</v>
      </c>
      <c r="C146" s="188" t="s">
        <v>108</v>
      </c>
      <c r="D146" s="192" t="s">
        <v>109</v>
      </c>
      <c r="E146" s="32" t="s">
        <v>33</v>
      </c>
      <c r="F146" s="193">
        <v>51.92</v>
      </c>
      <c r="G146" s="52">
        <v>21.6</v>
      </c>
      <c r="H146" s="193">
        <f t="shared" si="38"/>
        <v>26.684640000000002</v>
      </c>
      <c r="I146" s="193">
        <f t="shared" si="39"/>
        <v>1385.4665088000002</v>
      </c>
    </row>
    <row r="147" spans="1:9" s="1" customFormat="1" ht="14.25">
      <c r="A147" s="287" t="s">
        <v>61</v>
      </c>
      <c r="B147" s="288"/>
      <c r="C147" s="288"/>
      <c r="D147" s="288"/>
      <c r="E147" s="24" t="str">
        <f>A130</f>
        <v>9.2</v>
      </c>
      <c r="F147" s="25"/>
      <c r="G147" s="289">
        <f>ROUND(SUM(I131:I146),2)</f>
        <v>10533.79</v>
      </c>
      <c r="H147" s="290"/>
      <c r="I147" s="7"/>
    </row>
    <row r="148" spans="1:9" s="1" customFormat="1" ht="14.25">
      <c r="A148" s="27" t="s">
        <v>719</v>
      </c>
      <c r="B148" s="27"/>
      <c r="C148" s="28" t="s">
        <v>110</v>
      </c>
      <c r="D148" s="29"/>
      <c r="E148" s="30"/>
      <c r="F148" s="30"/>
      <c r="G148" s="30"/>
      <c r="H148" s="30"/>
      <c r="I148" s="30"/>
    </row>
    <row r="149" spans="1:9" s="6" customFormat="1" ht="63.75">
      <c r="A149" s="188" t="s">
        <v>720</v>
      </c>
      <c r="B149" s="218" t="s">
        <v>678</v>
      </c>
      <c r="C149" s="188" t="s">
        <v>167</v>
      </c>
      <c r="D149" s="192" t="s">
        <v>168</v>
      </c>
      <c r="E149" s="32" t="s">
        <v>44</v>
      </c>
      <c r="F149" s="193">
        <v>1</v>
      </c>
      <c r="G149" s="52">
        <v>748.77</v>
      </c>
      <c r="H149" s="193">
        <f t="shared" ref="H149" si="40">G149*(1+$I$6)</f>
        <v>925.03045800000007</v>
      </c>
      <c r="I149" s="193">
        <f t="shared" ref="I149" si="41">H149*F149</f>
        <v>925.03045800000007</v>
      </c>
    </row>
    <row r="150" spans="1:9" s="6" customFormat="1" ht="63.75">
      <c r="A150" s="265" t="s">
        <v>930</v>
      </c>
      <c r="B150" s="265" t="s">
        <v>678</v>
      </c>
      <c r="C150" s="188" t="s">
        <v>127</v>
      </c>
      <c r="D150" s="192" t="s">
        <v>128</v>
      </c>
      <c r="E150" s="32" t="s">
        <v>44</v>
      </c>
      <c r="F150" s="193">
        <v>3</v>
      </c>
      <c r="G150" s="52">
        <v>491.87</v>
      </c>
      <c r="H150" s="193">
        <f t="shared" ref="H150:H156" si="42">G150*(1+$I$6)</f>
        <v>607.65619800000002</v>
      </c>
      <c r="I150" s="193">
        <f t="shared" ref="I150:I156" si="43">H150*F150</f>
        <v>1822.9685939999999</v>
      </c>
    </row>
    <row r="151" spans="1:9" s="6" customFormat="1" ht="14.25">
      <c r="A151" s="265" t="s">
        <v>721</v>
      </c>
      <c r="B151" s="265" t="s">
        <v>678</v>
      </c>
      <c r="C151" s="188" t="s">
        <v>125</v>
      </c>
      <c r="D151" s="192" t="s">
        <v>126</v>
      </c>
      <c r="E151" s="32" t="s">
        <v>44</v>
      </c>
      <c r="F151" s="193">
        <v>6</v>
      </c>
      <c r="G151" s="52">
        <v>62.8</v>
      </c>
      <c r="H151" s="193">
        <f t="shared" si="42"/>
        <v>77.583119999999994</v>
      </c>
      <c r="I151" s="193">
        <f t="shared" si="43"/>
        <v>465.49871999999993</v>
      </c>
    </row>
    <row r="152" spans="1:9" s="6" customFormat="1" ht="25.5">
      <c r="A152" s="265" t="s">
        <v>722</v>
      </c>
      <c r="B152" s="265" t="s">
        <v>678</v>
      </c>
      <c r="C152" s="229" t="s">
        <v>783</v>
      </c>
      <c r="D152" s="192" t="s">
        <v>784</v>
      </c>
      <c r="E152" s="32" t="s">
        <v>44</v>
      </c>
      <c r="F152" s="193">
        <v>1</v>
      </c>
      <c r="G152" s="52">
        <v>34.770000000000003</v>
      </c>
      <c r="H152" s="193">
        <f t="shared" si="42"/>
        <v>42.954858000000009</v>
      </c>
      <c r="I152" s="193">
        <f t="shared" si="43"/>
        <v>42.954858000000009</v>
      </c>
    </row>
    <row r="153" spans="1:9" s="6" customFormat="1" ht="25.5">
      <c r="A153" s="265" t="s">
        <v>931</v>
      </c>
      <c r="B153" s="265" t="s">
        <v>31</v>
      </c>
      <c r="C153" s="265">
        <v>86879</v>
      </c>
      <c r="D153" s="192" t="s">
        <v>933</v>
      </c>
      <c r="E153" s="32" t="s">
        <v>44</v>
      </c>
      <c r="F153" s="193">
        <v>1</v>
      </c>
      <c r="G153" s="52">
        <v>11.22</v>
      </c>
      <c r="H153" s="193">
        <f t="shared" si="42"/>
        <v>13.861188000000002</v>
      </c>
      <c r="I153" s="193">
        <f t="shared" si="43"/>
        <v>13.861188000000002</v>
      </c>
    </row>
    <row r="154" spans="1:9" s="6" customFormat="1" ht="25.5">
      <c r="A154" s="265" t="s">
        <v>932</v>
      </c>
      <c r="B154" s="218" t="s">
        <v>678</v>
      </c>
      <c r="C154" s="188" t="s">
        <v>111</v>
      </c>
      <c r="D154" s="192" t="s">
        <v>112</v>
      </c>
      <c r="E154" s="32" t="s">
        <v>33</v>
      </c>
      <c r="F154" s="193">
        <v>31.3</v>
      </c>
      <c r="G154" s="52">
        <v>38.270000000000003</v>
      </c>
      <c r="H154" s="193">
        <f t="shared" si="42"/>
        <v>47.278758000000003</v>
      </c>
      <c r="I154" s="193">
        <f t="shared" si="43"/>
        <v>1479.8251254000002</v>
      </c>
    </row>
    <row r="155" spans="1:9" s="6" customFormat="1" ht="25.5">
      <c r="A155" s="265" t="s">
        <v>723</v>
      </c>
      <c r="B155" s="218" t="s">
        <v>678</v>
      </c>
      <c r="C155" s="188" t="s">
        <v>113</v>
      </c>
      <c r="D155" s="192" t="s">
        <v>114</v>
      </c>
      <c r="E155" s="32" t="s">
        <v>33</v>
      </c>
      <c r="F155" s="193">
        <f>27.89+1.8</f>
        <v>29.69</v>
      </c>
      <c r="G155" s="52">
        <v>27.08</v>
      </c>
      <c r="H155" s="193">
        <f t="shared" si="42"/>
        <v>33.454631999999997</v>
      </c>
      <c r="I155" s="193">
        <f t="shared" si="43"/>
        <v>993.26802407999992</v>
      </c>
    </row>
    <row r="156" spans="1:9" s="6" customFormat="1" ht="25.5">
      <c r="A156" s="265" t="s">
        <v>724</v>
      </c>
      <c r="B156" s="218" t="s">
        <v>678</v>
      </c>
      <c r="C156" s="188" t="s">
        <v>115</v>
      </c>
      <c r="D156" s="192" t="s">
        <v>116</v>
      </c>
      <c r="E156" s="32" t="s">
        <v>33</v>
      </c>
      <c r="F156" s="193">
        <f>4.75+2.4</f>
        <v>7.15</v>
      </c>
      <c r="G156" s="52">
        <v>20.37</v>
      </c>
      <c r="H156" s="193">
        <f t="shared" si="42"/>
        <v>25.165098000000004</v>
      </c>
      <c r="I156" s="193">
        <f t="shared" si="43"/>
        <v>179.93045070000005</v>
      </c>
    </row>
    <row r="157" spans="1:9" s="1" customFormat="1" ht="14.25">
      <c r="A157" s="287" t="s">
        <v>61</v>
      </c>
      <c r="B157" s="288"/>
      <c r="C157" s="288"/>
      <c r="D157" s="288"/>
      <c r="E157" s="24" t="str">
        <f>A148</f>
        <v>9.3</v>
      </c>
      <c r="F157" s="25"/>
      <c r="G157" s="289">
        <f>ROUND(SUM(I149:I156),2)</f>
        <v>5923.34</v>
      </c>
      <c r="H157" s="290"/>
      <c r="I157" s="7"/>
    </row>
    <row r="158" spans="1:9" s="1" customFormat="1" ht="14.25">
      <c r="A158" s="27" t="s">
        <v>725</v>
      </c>
      <c r="B158" s="27"/>
      <c r="C158" s="28" t="s">
        <v>334</v>
      </c>
      <c r="D158" s="28"/>
      <c r="E158" s="33"/>
      <c r="F158" s="33"/>
      <c r="G158" s="33"/>
      <c r="H158" s="33"/>
      <c r="I158" s="33"/>
    </row>
    <row r="159" spans="1:9" s="6" customFormat="1" ht="25.5">
      <c r="A159" s="188" t="s">
        <v>726</v>
      </c>
      <c r="B159" s="188" t="s">
        <v>31</v>
      </c>
      <c r="C159" s="188" t="s">
        <v>195</v>
      </c>
      <c r="D159" s="192" t="s">
        <v>196</v>
      </c>
      <c r="E159" s="32" t="s">
        <v>33</v>
      </c>
      <c r="F159" s="193">
        <v>16.55</v>
      </c>
      <c r="G159" s="52" t="s">
        <v>529</v>
      </c>
      <c r="H159" s="193">
        <f>G159*(1+$I$6)</f>
        <v>58.187340000000006</v>
      </c>
      <c r="I159" s="193">
        <f>H159*F159</f>
        <v>963.00047700000016</v>
      </c>
    </row>
    <row r="160" spans="1:9" s="6" customFormat="1" ht="38.25">
      <c r="A160" s="237" t="s">
        <v>727</v>
      </c>
      <c r="B160" s="237" t="s">
        <v>31</v>
      </c>
      <c r="C160" s="237" t="s">
        <v>197</v>
      </c>
      <c r="D160" s="192" t="s">
        <v>198</v>
      </c>
      <c r="E160" s="32" t="s">
        <v>33</v>
      </c>
      <c r="F160" s="193">
        <v>44.82</v>
      </c>
      <c r="G160" s="52" t="s">
        <v>530</v>
      </c>
      <c r="H160" s="193">
        <f>G160*(1+$I$6)</f>
        <v>40.360518000000006</v>
      </c>
      <c r="I160" s="193">
        <f>H160*F160</f>
        <v>1808.9584167600003</v>
      </c>
    </row>
    <row r="161" spans="1:12" s="1" customFormat="1" ht="14.25">
      <c r="A161" s="287" t="s">
        <v>61</v>
      </c>
      <c r="B161" s="288"/>
      <c r="C161" s="288"/>
      <c r="D161" s="288"/>
      <c r="E161" s="24" t="str">
        <f>A158</f>
        <v>9.4</v>
      </c>
      <c r="F161" s="25" t="s">
        <v>50</v>
      </c>
      <c r="G161" s="289">
        <f>ROUND(SUM(I159:I160),2)</f>
        <v>2771.96</v>
      </c>
      <c r="H161" s="290"/>
      <c r="I161" s="7"/>
    </row>
    <row r="162" spans="1:12" s="1" customFormat="1" ht="14.25">
      <c r="A162" s="27" t="s">
        <v>728</v>
      </c>
      <c r="B162" s="27"/>
      <c r="C162" s="28" t="s">
        <v>138</v>
      </c>
      <c r="D162" s="29"/>
      <c r="E162" s="30"/>
      <c r="F162" s="30"/>
      <c r="G162" s="30"/>
      <c r="H162" s="30"/>
      <c r="I162" s="30"/>
    </row>
    <row r="163" spans="1:12" s="6" customFormat="1" ht="14.25">
      <c r="A163" s="188" t="s">
        <v>729</v>
      </c>
      <c r="B163" s="188" t="s">
        <v>31</v>
      </c>
      <c r="C163" s="188">
        <v>39319</v>
      </c>
      <c r="D163" s="192" t="s">
        <v>141</v>
      </c>
      <c r="E163" s="32" t="s">
        <v>44</v>
      </c>
      <c r="F163" s="193">
        <v>3</v>
      </c>
      <c r="G163" s="52" t="s">
        <v>531</v>
      </c>
      <c r="H163" s="193">
        <f>G163*(1+$I$6)</f>
        <v>11.340972000000001</v>
      </c>
      <c r="I163" s="193">
        <f>H163*F163</f>
        <v>34.022916000000002</v>
      </c>
    </row>
    <row r="164" spans="1:12" s="6" customFormat="1" ht="38.25">
      <c r="A164" s="218" t="s">
        <v>730</v>
      </c>
      <c r="B164" s="188" t="s">
        <v>31</v>
      </c>
      <c r="C164" s="188" t="s">
        <v>139</v>
      </c>
      <c r="D164" s="192" t="s">
        <v>140</v>
      </c>
      <c r="E164" s="32" t="s">
        <v>33</v>
      </c>
      <c r="F164" s="193">
        <v>12.29</v>
      </c>
      <c r="G164" s="52" t="s">
        <v>532</v>
      </c>
      <c r="H164" s="193">
        <f>G164*(1+$I$6)</f>
        <v>16.418465999999999</v>
      </c>
      <c r="I164" s="193">
        <f>H164*F164</f>
        <v>201.78294713999998</v>
      </c>
    </row>
    <row r="165" spans="1:12" s="1" customFormat="1" ht="14.25">
      <c r="A165" s="287" t="s">
        <v>61</v>
      </c>
      <c r="B165" s="288"/>
      <c r="C165" s="288"/>
      <c r="D165" s="288"/>
      <c r="E165" s="24" t="str">
        <f>A162</f>
        <v>9.5</v>
      </c>
      <c r="F165" s="25"/>
      <c r="G165" s="289">
        <f>ROUND(SUM(I163:I164),2)</f>
        <v>235.81</v>
      </c>
      <c r="H165" s="290"/>
      <c r="I165" s="7"/>
    </row>
    <row r="166" spans="1:12" s="1" customFormat="1" ht="14.25">
      <c r="A166" s="287" t="s">
        <v>61</v>
      </c>
      <c r="B166" s="288"/>
      <c r="C166" s="288"/>
      <c r="D166" s="288"/>
      <c r="E166" s="24" t="str">
        <f>A129</f>
        <v>9.</v>
      </c>
      <c r="F166" s="25" t="s">
        <v>50</v>
      </c>
      <c r="G166" s="289">
        <f>ROUND((G161+G147+G165+G157),2)</f>
        <v>19464.900000000001</v>
      </c>
      <c r="H166" s="290"/>
      <c r="I166" s="7"/>
    </row>
    <row r="167" spans="1:12" s="6" customFormat="1" ht="15" customHeight="1">
      <c r="A167" s="18" t="s">
        <v>478</v>
      </c>
      <c r="B167" s="296" t="s">
        <v>443</v>
      </c>
      <c r="C167" s="297"/>
      <c r="D167" s="297"/>
      <c r="E167" s="297"/>
      <c r="F167" s="297"/>
      <c r="G167" s="297"/>
      <c r="H167" s="298"/>
      <c r="I167" s="31"/>
      <c r="L167" s="157"/>
    </row>
    <row r="168" spans="1:12" s="1" customFormat="1" ht="15" customHeight="1">
      <c r="A168" s="23" t="s">
        <v>433</v>
      </c>
      <c r="B168" s="218" t="s">
        <v>678</v>
      </c>
      <c r="C168" s="190" t="s">
        <v>118</v>
      </c>
      <c r="D168" s="191" t="s">
        <v>119</v>
      </c>
      <c r="E168" s="22" t="s">
        <v>42</v>
      </c>
      <c r="F168" s="22">
        <f>'MEMORIA DE CÁLCULO'!M941</f>
        <v>114.20334000000001</v>
      </c>
      <c r="G168" s="52">
        <v>30.26</v>
      </c>
      <c r="H168" s="22">
        <f>G168*(1+$I$6)</f>
        <v>37.383204000000006</v>
      </c>
      <c r="I168" s="22">
        <f>H168*F168</f>
        <v>4269.2867567013609</v>
      </c>
    </row>
    <row r="169" spans="1:12" s="1" customFormat="1" ht="14.25">
      <c r="A169" s="287" t="s">
        <v>61</v>
      </c>
      <c r="B169" s="288"/>
      <c r="C169" s="288"/>
      <c r="D169" s="288"/>
      <c r="E169" s="24" t="str">
        <f>A167</f>
        <v>10.</v>
      </c>
      <c r="F169" s="25" t="s">
        <v>50</v>
      </c>
      <c r="G169" s="289">
        <f>ROUND(SUM(I168),2)</f>
        <v>4269.29</v>
      </c>
      <c r="H169" s="290"/>
      <c r="I169" s="7"/>
    </row>
    <row r="170" spans="1:12" s="1" customFormat="1" ht="15" customHeight="1">
      <c r="A170" s="20" t="s">
        <v>477</v>
      </c>
      <c r="B170" s="310" t="s">
        <v>482</v>
      </c>
      <c r="C170" s="310"/>
      <c r="D170" s="310"/>
      <c r="E170" s="310"/>
      <c r="F170" s="310"/>
      <c r="G170" s="311"/>
      <c r="H170" s="311"/>
      <c r="I170" s="26"/>
    </row>
    <row r="171" spans="1:12" s="1" customFormat="1" ht="14.25">
      <c r="A171" s="27" t="s">
        <v>806</v>
      </c>
      <c r="B171" s="27"/>
      <c r="C171" s="28" t="s">
        <v>234</v>
      </c>
      <c r="D171" s="29"/>
      <c r="E171" s="30"/>
      <c r="F171" s="30"/>
      <c r="G171" s="30"/>
      <c r="H171" s="30"/>
      <c r="I171" s="30"/>
    </row>
    <row r="172" spans="1:12" s="1" customFormat="1" ht="25.5">
      <c r="A172" s="23" t="s">
        <v>807</v>
      </c>
      <c r="B172" s="218" t="s">
        <v>678</v>
      </c>
      <c r="C172" s="202" t="s">
        <v>235</v>
      </c>
      <c r="D172" s="195" t="s">
        <v>236</v>
      </c>
      <c r="E172" s="22" t="s">
        <v>42</v>
      </c>
      <c r="F172" s="52">
        <f>'MEMORIA DE CÁLCULO'!M976</f>
        <v>756.93610999999999</v>
      </c>
      <c r="G172" s="52">
        <v>12.36</v>
      </c>
      <c r="H172" s="52">
        <f>G172*(1+$I$6)</f>
        <v>15.269544</v>
      </c>
      <c r="I172" s="52">
        <f t="shared" ref="I172" si="44">H172*F172</f>
        <v>11558.06923683384</v>
      </c>
    </row>
    <row r="173" spans="1:12" s="1" customFormat="1" ht="25.5">
      <c r="A173" s="23" t="s">
        <v>808</v>
      </c>
      <c r="B173" s="218" t="s">
        <v>678</v>
      </c>
      <c r="C173" s="202" t="s">
        <v>237</v>
      </c>
      <c r="D173" s="195" t="s">
        <v>238</v>
      </c>
      <c r="E173" s="22" t="s">
        <v>42</v>
      </c>
      <c r="F173" s="52">
        <f>'MEMORIA DE CÁLCULO'!M1007</f>
        <v>665.08210999999994</v>
      </c>
      <c r="G173" s="52">
        <v>29.68</v>
      </c>
      <c r="H173" s="52">
        <f t="shared" ref="H173:H180" si="45">G173*(1+$I$6)</f>
        <v>36.666671999999998</v>
      </c>
      <c r="I173" s="52">
        <f t="shared" ref="I173:I180" si="46">H173*F173</f>
        <v>24386.347580437916</v>
      </c>
      <c r="K173" s="15"/>
    </row>
    <row r="174" spans="1:12" s="1" customFormat="1" ht="38.25">
      <c r="A174" s="23" t="s">
        <v>809</v>
      </c>
      <c r="B174" s="218" t="s">
        <v>678</v>
      </c>
      <c r="C174" s="23" t="s">
        <v>239</v>
      </c>
      <c r="D174" s="195" t="s">
        <v>240</v>
      </c>
      <c r="E174" s="22" t="s">
        <v>42</v>
      </c>
      <c r="F174" s="52">
        <f>'MEMORIA DE CÁLCULO'!M1017</f>
        <v>91.854000000000013</v>
      </c>
      <c r="G174" s="52">
        <v>49.1</v>
      </c>
      <c r="H174" s="52">
        <f t="shared" si="45"/>
        <v>60.658140000000003</v>
      </c>
      <c r="I174" s="52">
        <f t="shared" si="46"/>
        <v>5571.6927915600008</v>
      </c>
    </row>
    <row r="175" spans="1:12" s="1" customFormat="1" ht="38.25">
      <c r="A175" s="23" t="s">
        <v>810</v>
      </c>
      <c r="B175" s="218" t="s">
        <v>678</v>
      </c>
      <c r="C175" s="23" t="s">
        <v>332</v>
      </c>
      <c r="D175" s="195" t="s">
        <v>333</v>
      </c>
      <c r="E175" s="22" t="s">
        <v>42</v>
      </c>
      <c r="F175" s="52">
        <f>'MEMORIA DE CÁLCULO'!M1048</f>
        <v>756.93610999999999</v>
      </c>
      <c r="G175" s="52">
        <v>31.62</v>
      </c>
      <c r="H175" s="52">
        <f t="shared" si="45"/>
        <v>39.063348000000005</v>
      </c>
      <c r="I175" s="52">
        <f t="shared" si="46"/>
        <v>29568.458678696283</v>
      </c>
    </row>
    <row r="176" spans="1:12" s="1" customFormat="1" ht="38.25">
      <c r="A176" s="23" t="s">
        <v>811</v>
      </c>
      <c r="B176" s="23" t="s">
        <v>31</v>
      </c>
      <c r="C176" s="23" t="s">
        <v>398</v>
      </c>
      <c r="D176" s="195" t="s">
        <v>399</v>
      </c>
      <c r="E176" s="22" t="s">
        <v>42</v>
      </c>
      <c r="F176" s="52">
        <f>'MEMORIA DE CÁLCULO'!M1058</f>
        <v>91.854000000000013</v>
      </c>
      <c r="G176" s="52" t="s">
        <v>533</v>
      </c>
      <c r="H176" s="52">
        <f t="shared" si="45"/>
        <v>69.034152000000006</v>
      </c>
      <c r="I176" s="52">
        <f t="shared" si="46"/>
        <v>6341.0629978080015</v>
      </c>
    </row>
    <row r="177" spans="1:9" s="1" customFormat="1" ht="14.25">
      <c r="A177" s="23" t="s">
        <v>812</v>
      </c>
      <c r="B177" s="218" t="s">
        <v>678</v>
      </c>
      <c r="C177" s="23" t="s">
        <v>393</v>
      </c>
      <c r="D177" s="196" t="s">
        <v>394</v>
      </c>
      <c r="E177" s="22" t="s">
        <v>42</v>
      </c>
      <c r="F177" s="22">
        <f>'MEMORIA DE CÁLCULO'!M1083</f>
        <v>4.144499999999999</v>
      </c>
      <c r="G177" s="52">
        <v>268.08999999999997</v>
      </c>
      <c r="H177" s="52">
        <f t="shared" si="45"/>
        <v>331.19838599999997</v>
      </c>
      <c r="I177" s="52">
        <f t="shared" si="46"/>
        <v>1372.6517107769996</v>
      </c>
    </row>
    <row r="178" spans="1:9" s="1" customFormat="1" ht="38.25">
      <c r="A178" s="23" t="s">
        <v>813</v>
      </c>
      <c r="B178" s="218" t="s">
        <v>678</v>
      </c>
      <c r="C178" s="200" t="s">
        <v>389</v>
      </c>
      <c r="D178" s="195" t="s">
        <v>390</v>
      </c>
      <c r="E178" s="22" t="s">
        <v>33</v>
      </c>
      <c r="F178" s="52">
        <f>'MEMORIA DE CÁLCULO'!M1090</f>
        <v>1.5</v>
      </c>
      <c r="G178" s="52">
        <v>48.71</v>
      </c>
      <c r="H178" s="52">
        <f t="shared" si="45"/>
        <v>60.176334000000004</v>
      </c>
      <c r="I178" s="52">
        <f t="shared" si="46"/>
        <v>90.26450100000001</v>
      </c>
    </row>
    <row r="179" spans="1:9" s="1" customFormat="1" ht="38.25">
      <c r="A179" s="23" t="s">
        <v>814</v>
      </c>
      <c r="B179" s="218" t="s">
        <v>678</v>
      </c>
      <c r="C179" s="23" t="s">
        <v>252</v>
      </c>
      <c r="D179" s="195" t="s">
        <v>253</v>
      </c>
      <c r="E179" s="22" t="s">
        <v>294</v>
      </c>
      <c r="F179" s="52">
        <f>'MEMORIA DE CÁLCULO'!M1097</f>
        <v>640.66499999999996</v>
      </c>
      <c r="G179" s="52">
        <v>15</v>
      </c>
      <c r="H179" s="52">
        <f t="shared" si="45"/>
        <v>18.531000000000002</v>
      </c>
      <c r="I179" s="52">
        <f t="shared" si="46"/>
        <v>11872.163115000001</v>
      </c>
    </row>
    <row r="180" spans="1:9" s="1" customFormat="1" ht="38.25">
      <c r="A180" s="23" t="s">
        <v>815</v>
      </c>
      <c r="B180" s="218" t="s">
        <v>678</v>
      </c>
      <c r="C180" s="23" t="s">
        <v>254</v>
      </c>
      <c r="D180" s="195" t="s">
        <v>255</v>
      </c>
      <c r="E180" s="22" t="s">
        <v>42</v>
      </c>
      <c r="F180" s="52">
        <f>'MEMORIA DE CÁLCULO'!M1107</f>
        <v>320.33249999999998</v>
      </c>
      <c r="G180" s="52">
        <v>7.8</v>
      </c>
      <c r="H180" s="52">
        <f t="shared" si="45"/>
        <v>9.63612</v>
      </c>
      <c r="I180" s="52">
        <f t="shared" si="46"/>
        <v>3086.7624099</v>
      </c>
    </row>
    <row r="181" spans="1:9" s="1" customFormat="1" ht="14.25">
      <c r="A181" s="287" t="s">
        <v>61</v>
      </c>
      <c r="B181" s="288"/>
      <c r="C181" s="288"/>
      <c r="D181" s="288"/>
      <c r="E181" s="24" t="str">
        <f>A171</f>
        <v>11.1</v>
      </c>
      <c r="F181" s="25" t="s">
        <v>50</v>
      </c>
      <c r="G181" s="289">
        <f>ROUND(SUM(I172:I180),2)</f>
        <v>93847.47</v>
      </c>
      <c r="H181" s="290"/>
      <c r="I181" s="7"/>
    </row>
    <row r="182" spans="1:9" s="1" customFormat="1" ht="14.25">
      <c r="A182" s="27" t="s">
        <v>816</v>
      </c>
      <c r="B182" s="23"/>
      <c r="C182" s="103" t="s">
        <v>250</v>
      </c>
      <c r="D182" s="104"/>
      <c r="E182" s="32"/>
      <c r="F182" s="22"/>
      <c r="G182" s="22"/>
      <c r="H182" s="22"/>
      <c r="I182" s="22"/>
    </row>
    <row r="183" spans="1:9" s="1" customFormat="1" ht="38.25">
      <c r="A183" s="23" t="s">
        <v>817</v>
      </c>
      <c r="B183" s="218" t="s">
        <v>678</v>
      </c>
      <c r="C183" s="203" t="s">
        <v>251</v>
      </c>
      <c r="D183" s="104" t="s">
        <v>303</v>
      </c>
      <c r="E183" s="32" t="s">
        <v>42</v>
      </c>
      <c r="F183" s="52">
        <f>'MEMORIA DE CÁLCULO'!M1119</f>
        <v>153.28399999999999</v>
      </c>
      <c r="G183" s="52">
        <v>12.05</v>
      </c>
      <c r="H183" s="52">
        <f t="shared" ref="H183" si="47">G183*(1+$I$6)</f>
        <v>14.886570000000001</v>
      </c>
      <c r="I183" s="52">
        <f t="shared" ref="I183" si="48">H183*F183</f>
        <v>2281.87299588</v>
      </c>
    </row>
    <row r="184" spans="1:9" s="1" customFormat="1" ht="51">
      <c r="A184" s="23" t="s">
        <v>818</v>
      </c>
      <c r="B184" s="218" t="s">
        <v>678</v>
      </c>
      <c r="C184" s="203" t="s">
        <v>407</v>
      </c>
      <c r="D184" s="104" t="s">
        <v>408</v>
      </c>
      <c r="E184" s="32" t="s">
        <v>42</v>
      </c>
      <c r="F184" s="52">
        <f>'MEMORIA DE CÁLCULO'!M1129</f>
        <v>153.28399999999999</v>
      </c>
      <c r="G184" s="52">
        <v>32.07</v>
      </c>
      <c r="H184" s="52">
        <f t="shared" ref="H184" si="49">G184*(1+$I$6)</f>
        <v>39.619278000000001</v>
      </c>
      <c r="I184" s="52">
        <f t="shared" ref="I184" si="50">H184*F184</f>
        <v>6073.001408952</v>
      </c>
    </row>
    <row r="185" spans="1:9" s="1" customFormat="1" ht="14.25">
      <c r="A185" s="287" t="s">
        <v>61</v>
      </c>
      <c r="B185" s="288"/>
      <c r="C185" s="288"/>
      <c r="D185" s="288"/>
      <c r="E185" s="24" t="str">
        <f>A182</f>
        <v>11.2</v>
      </c>
      <c r="F185" s="25" t="s">
        <v>50</v>
      </c>
      <c r="G185" s="289">
        <f>ROUND(SUM(I183:I184),2)</f>
        <v>8354.8700000000008</v>
      </c>
      <c r="H185" s="290"/>
      <c r="I185" s="7"/>
    </row>
    <row r="186" spans="1:9" s="1" customFormat="1" ht="14.25">
      <c r="A186" s="287" t="s">
        <v>61</v>
      </c>
      <c r="B186" s="288"/>
      <c r="C186" s="288"/>
      <c r="D186" s="288"/>
      <c r="E186" s="24" t="str">
        <f>A170</f>
        <v>11.</v>
      </c>
      <c r="F186" s="25" t="s">
        <v>50</v>
      </c>
      <c r="G186" s="289">
        <f>ROUND(SUM(G185+G181),2)</f>
        <v>102202.34</v>
      </c>
      <c r="H186" s="290"/>
      <c r="I186" s="7"/>
    </row>
    <row r="187" spans="1:9" s="1" customFormat="1" ht="15" customHeight="1">
      <c r="A187" s="20" t="s">
        <v>476</v>
      </c>
      <c r="B187" s="291" t="s">
        <v>470</v>
      </c>
      <c r="C187" s="291"/>
      <c r="D187" s="291"/>
      <c r="E187" s="291"/>
      <c r="F187" s="291"/>
      <c r="G187" s="292"/>
      <c r="H187" s="292"/>
      <c r="I187" s="31"/>
    </row>
    <row r="188" spans="1:9" s="1" customFormat="1" ht="38.25">
      <c r="A188" s="23" t="s">
        <v>731</v>
      </c>
      <c r="B188" s="237" t="s">
        <v>678</v>
      </c>
      <c r="C188" s="203" t="s">
        <v>850</v>
      </c>
      <c r="D188" s="104" t="s">
        <v>851</v>
      </c>
      <c r="E188" s="32" t="s">
        <v>42</v>
      </c>
      <c r="F188" s="52">
        <f>'MEMORIA DE CÁLCULO'!M1141</f>
        <v>3</v>
      </c>
      <c r="G188" s="52">
        <v>166.96</v>
      </c>
      <c r="H188" s="52">
        <f t="shared" ref="H188" si="51">G188*(1+$I$6)</f>
        <v>206.26238400000003</v>
      </c>
      <c r="I188" s="52">
        <f t="shared" ref="I188" si="52">H188*F188</f>
        <v>618.78715200000011</v>
      </c>
    </row>
    <row r="189" spans="1:9" s="6" customFormat="1" ht="25.5">
      <c r="A189" s="23" t="s">
        <v>907</v>
      </c>
      <c r="B189" s="265" t="s">
        <v>31</v>
      </c>
      <c r="C189" s="203">
        <v>102170</v>
      </c>
      <c r="D189" s="104" t="s">
        <v>906</v>
      </c>
      <c r="E189" s="32" t="s">
        <v>42</v>
      </c>
      <c r="F189" s="193">
        <f>'MEMORIA DE CÁLCULO'!M1151</f>
        <v>4.68</v>
      </c>
      <c r="G189" s="52">
        <v>339.62</v>
      </c>
      <c r="H189" s="52">
        <f t="shared" ref="H189" si="53">G189*(1+$I$6)</f>
        <v>419.56654800000001</v>
      </c>
      <c r="I189" s="52">
        <f t="shared" ref="I189" si="54">H189*F189</f>
        <v>1963.57144464</v>
      </c>
    </row>
    <row r="190" spans="1:9" s="1" customFormat="1" ht="14.25">
      <c r="A190" s="287" t="s">
        <v>61</v>
      </c>
      <c r="B190" s="288"/>
      <c r="C190" s="288"/>
      <c r="D190" s="288"/>
      <c r="E190" s="24" t="str">
        <f>A187</f>
        <v>12.</v>
      </c>
      <c r="F190" s="25" t="s">
        <v>50</v>
      </c>
      <c r="G190" s="289">
        <f>ROUND(SUM(I188:I189),2)</f>
        <v>2582.36</v>
      </c>
      <c r="H190" s="290"/>
      <c r="I190" s="7"/>
    </row>
    <row r="191" spans="1:9" s="1" customFormat="1" ht="15" customHeight="1">
      <c r="A191" s="20" t="s">
        <v>475</v>
      </c>
      <c r="B191" s="293" t="s">
        <v>256</v>
      </c>
      <c r="C191" s="294"/>
      <c r="D191" s="294"/>
      <c r="E191" s="294"/>
      <c r="F191" s="294"/>
      <c r="G191" s="294"/>
      <c r="H191" s="295"/>
      <c r="I191" s="26"/>
    </row>
    <row r="192" spans="1:9" s="105" customFormat="1" ht="15">
      <c r="A192" s="27" t="s">
        <v>262</v>
      </c>
      <c r="B192" s="27"/>
      <c r="C192" s="28" t="s">
        <v>474</v>
      </c>
      <c r="D192" s="28"/>
      <c r="E192" s="33"/>
      <c r="F192" s="33"/>
      <c r="G192" s="33"/>
      <c r="H192" s="33"/>
      <c r="I192" s="33"/>
    </row>
    <row r="193" spans="1:11" s="6" customFormat="1" ht="25.5">
      <c r="A193" s="188" t="s">
        <v>819</v>
      </c>
      <c r="B193" s="218" t="s">
        <v>678</v>
      </c>
      <c r="C193" s="203" t="s">
        <v>419</v>
      </c>
      <c r="D193" s="104" t="s">
        <v>420</v>
      </c>
      <c r="E193" s="32" t="s">
        <v>42</v>
      </c>
      <c r="F193" s="193">
        <f>'MEMORIA DE CÁLCULO'!M1186</f>
        <v>617.66760999999985</v>
      </c>
      <c r="G193" s="52">
        <v>14.14</v>
      </c>
      <c r="H193" s="193">
        <f>G193*(1+$I$6)</f>
        <v>17.468556000000003</v>
      </c>
      <c r="I193" s="193">
        <f>H193*F193</f>
        <v>10789.761234671159</v>
      </c>
    </row>
    <row r="194" spans="1:11" s="6" customFormat="1" ht="25.5">
      <c r="A194" s="237" t="s">
        <v>820</v>
      </c>
      <c r="B194" s="218" t="s">
        <v>678</v>
      </c>
      <c r="C194" s="203" t="s">
        <v>257</v>
      </c>
      <c r="D194" s="104" t="s">
        <v>258</v>
      </c>
      <c r="E194" s="32" t="s">
        <v>42</v>
      </c>
      <c r="F194" s="193">
        <f>'MEMORIA DE CÁLCULO'!M1217</f>
        <v>617.66760999999985</v>
      </c>
      <c r="G194" s="52">
        <v>16.399999999999999</v>
      </c>
      <c r="H194" s="193">
        <f t="shared" ref="H194:H197" si="55">G194*(1+$I$6)</f>
        <v>20.260559999999998</v>
      </c>
      <c r="I194" s="193">
        <f t="shared" ref="I194:I197" si="56">H194*F194</f>
        <v>12514.291672461595</v>
      </c>
    </row>
    <row r="195" spans="1:11" s="6" customFormat="1" ht="25.5">
      <c r="A195" s="237" t="s">
        <v>821</v>
      </c>
      <c r="B195" s="188" t="s">
        <v>31</v>
      </c>
      <c r="C195" s="203" t="s">
        <v>417</v>
      </c>
      <c r="D195" s="104" t="s">
        <v>418</v>
      </c>
      <c r="E195" s="32" t="s">
        <v>42</v>
      </c>
      <c r="F195" s="193">
        <f>'MEMORIA DE CÁLCULO'!M1248</f>
        <v>617.66760999999985</v>
      </c>
      <c r="G195" s="52" t="s">
        <v>534</v>
      </c>
      <c r="H195" s="193">
        <f t="shared" si="55"/>
        <v>5.0033700000000003</v>
      </c>
      <c r="I195" s="193">
        <f t="shared" si="56"/>
        <v>3090.4195898456996</v>
      </c>
    </row>
    <row r="196" spans="1:11" s="6" customFormat="1" ht="38.25">
      <c r="A196" s="237" t="s">
        <v>822</v>
      </c>
      <c r="B196" s="218" t="s">
        <v>678</v>
      </c>
      <c r="C196" s="202" t="s">
        <v>421</v>
      </c>
      <c r="D196" s="195" t="s">
        <v>422</v>
      </c>
      <c r="E196" s="22" t="s">
        <v>42</v>
      </c>
      <c r="F196" s="205">
        <f>'MEMORIA DE CÁLCULO'!M1264</f>
        <v>33.96</v>
      </c>
      <c r="G196" s="52">
        <v>5.89</v>
      </c>
      <c r="H196" s="193">
        <f t="shared" si="55"/>
        <v>7.2765060000000004</v>
      </c>
      <c r="I196" s="193">
        <f t="shared" si="56"/>
        <v>247.11014376000003</v>
      </c>
    </row>
    <row r="197" spans="1:11" s="6" customFormat="1" ht="38.25">
      <c r="A197" s="237" t="s">
        <v>823</v>
      </c>
      <c r="B197" s="218" t="s">
        <v>678</v>
      </c>
      <c r="C197" s="202" t="s">
        <v>423</v>
      </c>
      <c r="D197" s="195" t="s">
        <v>424</v>
      </c>
      <c r="E197" s="22" t="s">
        <v>42</v>
      </c>
      <c r="F197" s="205">
        <f>'MEMORIA DE CÁLCULO'!M1280</f>
        <v>33.96</v>
      </c>
      <c r="G197" s="52">
        <v>11.51</v>
      </c>
      <c r="H197" s="193">
        <f t="shared" si="55"/>
        <v>14.219454000000001</v>
      </c>
      <c r="I197" s="193">
        <f t="shared" si="56"/>
        <v>482.89265784000003</v>
      </c>
    </row>
    <row r="198" spans="1:11" s="154" customFormat="1" ht="14.25">
      <c r="A198" s="299" t="s">
        <v>61</v>
      </c>
      <c r="B198" s="300"/>
      <c r="C198" s="300"/>
      <c r="D198" s="300"/>
      <c r="E198" s="59" t="str">
        <f>A192</f>
        <v>13.1</v>
      </c>
      <c r="F198" s="60" t="s">
        <v>50</v>
      </c>
      <c r="G198" s="301">
        <f>ROUND(SUM(I193:I197),2)</f>
        <v>27124.48</v>
      </c>
      <c r="H198" s="302"/>
      <c r="I198" s="61"/>
    </row>
    <row r="199" spans="1:11" s="156" customFormat="1" ht="15">
      <c r="A199" s="8" t="s">
        <v>824</v>
      </c>
      <c r="B199" s="8"/>
      <c r="C199" s="82" t="s">
        <v>250</v>
      </c>
      <c r="D199" s="82"/>
      <c r="E199" s="155"/>
      <c r="F199" s="155"/>
      <c r="G199" s="155"/>
      <c r="H199" s="155"/>
      <c r="I199" s="155"/>
    </row>
    <row r="200" spans="1:11" s="6" customFormat="1" ht="27" customHeight="1">
      <c r="A200" s="188" t="s">
        <v>825</v>
      </c>
      <c r="B200" s="218" t="s">
        <v>678</v>
      </c>
      <c r="C200" s="203" t="s">
        <v>425</v>
      </c>
      <c r="D200" s="104" t="s">
        <v>429</v>
      </c>
      <c r="E200" s="32" t="s">
        <v>42</v>
      </c>
      <c r="F200" s="193">
        <f>'MEMORIA DE CÁLCULO'!M1292</f>
        <v>135.35399999999998</v>
      </c>
      <c r="G200" s="52">
        <v>35.770000000000003</v>
      </c>
      <c r="H200" s="193">
        <f>G200*(1+$I$6)</f>
        <v>44.190258000000007</v>
      </c>
      <c r="I200" s="193">
        <f>H200*F200</f>
        <v>5981.328181332</v>
      </c>
    </row>
    <row r="201" spans="1:11" s="6" customFormat="1" ht="25.5">
      <c r="A201" s="237" t="s">
        <v>826</v>
      </c>
      <c r="B201" s="218" t="s">
        <v>678</v>
      </c>
      <c r="C201" s="203" t="s">
        <v>426</v>
      </c>
      <c r="D201" s="104" t="s">
        <v>430</v>
      </c>
      <c r="E201" s="32" t="s">
        <v>42</v>
      </c>
      <c r="F201" s="193">
        <f>'MEMORIA DE CÁLCULO'!M1302</f>
        <v>12.864000000000001</v>
      </c>
      <c r="G201" s="52">
        <v>37.4</v>
      </c>
      <c r="H201" s="193">
        <f t="shared" ref="H201:H202" si="57">G201*(1+$I$6)</f>
        <v>46.203960000000002</v>
      </c>
      <c r="I201" s="193">
        <f t="shared" ref="I201:I202" si="58">H201*F201</f>
        <v>594.36774144000003</v>
      </c>
      <c r="K201" s="157"/>
    </row>
    <row r="202" spans="1:11" s="6" customFormat="1" ht="25.5">
      <c r="A202" s="237" t="s">
        <v>827</v>
      </c>
      <c r="B202" s="188" t="s">
        <v>31</v>
      </c>
      <c r="C202" s="203" t="s">
        <v>427</v>
      </c>
      <c r="D202" s="104" t="s">
        <v>431</v>
      </c>
      <c r="E202" s="32" t="s">
        <v>42</v>
      </c>
      <c r="F202" s="193">
        <f>'MEMORIA DE CÁLCULO'!M1312</f>
        <v>12.864000000000001</v>
      </c>
      <c r="G202" s="52" t="s">
        <v>535</v>
      </c>
      <c r="H202" s="193">
        <f t="shared" si="57"/>
        <v>6.0658140000000005</v>
      </c>
      <c r="I202" s="193">
        <f t="shared" si="58"/>
        <v>78.03063129600001</v>
      </c>
    </row>
    <row r="203" spans="1:11" s="154" customFormat="1" ht="14.25">
      <c r="A203" s="299" t="s">
        <v>61</v>
      </c>
      <c r="B203" s="300"/>
      <c r="C203" s="300"/>
      <c r="D203" s="300"/>
      <c r="E203" s="59" t="str">
        <f>A199</f>
        <v>13.2</v>
      </c>
      <c r="F203" s="60" t="s">
        <v>50</v>
      </c>
      <c r="G203" s="301">
        <f>ROUND(SUM(I200:I202),2)</f>
        <v>6653.73</v>
      </c>
      <c r="H203" s="302"/>
      <c r="I203" s="61"/>
    </row>
    <row r="204" spans="1:11" s="156" customFormat="1" ht="15">
      <c r="A204" s="8" t="s">
        <v>828</v>
      </c>
      <c r="B204" s="8"/>
      <c r="C204" s="82" t="s">
        <v>308</v>
      </c>
      <c r="D204" s="82"/>
      <c r="E204" s="155"/>
      <c r="F204" s="155"/>
      <c r="G204" s="155"/>
      <c r="H204" s="155"/>
      <c r="I204" s="155"/>
    </row>
    <row r="205" spans="1:11" s="6" customFormat="1" ht="26.25" customHeight="1">
      <c r="A205" s="256" t="s">
        <v>829</v>
      </c>
      <c r="B205" s="256" t="s">
        <v>678</v>
      </c>
      <c r="C205" s="203" t="s">
        <v>309</v>
      </c>
      <c r="D205" s="204" t="s">
        <v>310</v>
      </c>
      <c r="E205" s="32" t="s">
        <v>42</v>
      </c>
      <c r="F205" s="193">
        <f>'MEMORIA DE CÁLCULO'!M1321</f>
        <v>9.5037249599999996</v>
      </c>
      <c r="G205" s="193">
        <v>13.6</v>
      </c>
      <c r="H205" s="193">
        <f t="shared" ref="H205" si="59">G205*(1+$I$6)</f>
        <v>16.801439999999999</v>
      </c>
      <c r="I205" s="193">
        <f t="shared" ref="I205" si="60">H205*F205</f>
        <v>159.67626469194238</v>
      </c>
    </row>
    <row r="206" spans="1:11" s="6" customFormat="1" ht="26.25" customHeight="1">
      <c r="A206" s="237" t="s">
        <v>830</v>
      </c>
      <c r="B206" s="218" t="s">
        <v>678</v>
      </c>
      <c r="C206" s="203" t="s">
        <v>260</v>
      </c>
      <c r="D206" s="204" t="s">
        <v>261</v>
      </c>
      <c r="E206" s="32" t="s">
        <v>42</v>
      </c>
      <c r="F206" s="193">
        <f>'MEMORIA DE CÁLCULO'!M1328</f>
        <v>7.5600000000000005</v>
      </c>
      <c r="G206" s="52">
        <v>35.81</v>
      </c>
      <c r="H206" s="193">
        <f t="shared" ref="H206" si="61">G206*(1+$I$6)</f>
        <v>44.239674000000008</v>
      </c>
      <c r="I206" s="193">
        <f t="shared" ref="I206" si="62">H206*F206</f>
        <v>334.45193544000006</v>
      </c>
    </row>
    <row r="207" spans="1:11" s="6" customFormat="1" ht="14.25">
      <c r="A207" s="299" t="s">
        <v>61</v>
      </c>
      <c r="B207" s="300"/>
      <c r="C207" s="300"/>
      <c r="D207" s="300"/>
      <c r="E207" s="59" t="str">
        <f>A204</f>
        <v>13.3</v>
      </c>
      <c r="F207" s="60" t="s">
        <v>50</v>
      </c>
      <c r="G207" s="301">
        <f>ROUND(SUM(I205:I206),2)</f>
        <v>494.13</v>
      </c>
      <c r="H207" s="302"/>
      <c r="I207" s="61"/>
    </row>
    <row r="208" spans="1:11" s="156" customFormat="1" ht="15">
      <c r="A208" s="8" t="s">
        <v>831</v>
      </c>
      <c r="B208" s="8"/>
      <c r="C208" s="82" t="s">
        <v>259</v>
      </c>
      <c r="D208" s="82"/>
      <c r="E208" s="155"/>
      <c r="F208" s="155"/>
      <c r="G208" s="155"/>
      <c r="H208" s="155"/>
      <c r="I208" s="155"/>
    </row>
    <row r="209" spans="1:12" s="6" customFormat="1" ht="26.25" customHeight="1">
      <c r="A209" s="188" t="s">
        <v>832</v>
      </c>
      <c r="B209" s="218" t="s">
        <v>678</v>
      </c>
      <c r="C209" s="203" t="s">
        <v>311</v>
      </c>
      <c r="D209" s="204" t="s">
        <v>312</v>
      </c>
      <c r="E209" s="32" t="s">
        <v>42</v>
      </c>
      <c r="F209" s="193">
        <f>'MEMORIA DE CÁLCULO'!M1353</f>
        <v>23.94</v>
      </c>
      <c r="G209" s="52">
        <v>37.229999999999997</v>
      </c>
      <c r="H209" s="193">
        <f t="shared" ref="H209" si="63">G209*(1+$I$6)</f>
        <v>45.993941999999997</v>
      </c>
      <c r="I209" s="193">
        <f t="shared" ref="I209" si="64">H209*F209</f>
        <v>1101.0949714799999</v>
      </c>
    </row>
    <row r="210" spans="1:12" s="6" customFormat="1" ht="26.25" customHeight="1">
      <c r="A210" s="237" t="s">
        <v>833</v>
      </c>
      <c r="B210" s="218" t="s">
        <v>678</v>
      </c>
      <c r="C210" s="203" t="s">
        <v>313</v>
      </c>
      <c r="D210" s="204" t="s">
        <v>432</v>
      </c>
      <c r="E210" s="32" t="s">
        <v>42</v>
      </c>
      <c r="F210" s="193">
        <f>'MEMORIA DE CÁLCULO'!M1375</f>
        <v>23.94</v>
      </c>
      <c r="G210" s="52">
        <v>29.85</v>
      </c>
      <c r="H210" s="193">
        <f t="shared" ref="H210" si="65">G210*(1+$I$6)</f>
        <v>36.876690000000004</v>
      </c>
      <c r="I210" s="193">
        <f t="shared" ref="I210" si="66">H210*F210</f>
        <v>882.8279586000001</v>
      </c>
    </row>
    <row r="211" spans="1:12" s="6" customFormat="1" ht="14.25">
      <c r="A211" s="299" t="s">
        <v>61</v>
      </c>
      <c r="B211" s="300"/>
      <c r="C211" s="300"/>
      <c r="D211" s="300"/>
      <c r="E211" s="59" t="str">
        <f>A208</f>
        <v>13.4</v>
      </c>
      <c r="F211" s="60" t="s">
        <v>50</v>
      </c>
      <c r="G211" s="301">
        <f>ROUND(SUM(I209:I210),2)</f>
        <v>1983.92</v>
      </c>
      <c r="H211" s="302"/>
      <c r="I211" s="61"/>
    </row>
    <row r="212" spans="1:12" s="6" customFormat="1" ht="14.25">
      <c r="A212" s="299" t="s">
        <v>61</v>
      </c>
      <c r="B212" s="300"/>
      <c r="C212" s="300"/>
      <c r="D212" s="300"/>
      <c r="E212" s="59" t="str">
        <f>A191</f>
        <v>13.</v>
      </c>
      <c r="F212" s="60" t="s">
        <v>50</v>
      </c>
      <c r="G212" s="301">
        <f>ROUND((G211+G207+G203+G198),2)</f>
        <v>36256.26</v>
      </c>
      <c r="H212" s="302"/>
      <c r="I212" s="61"/>
      <c r="K212" s="157"/>
    </row>
    <row r="213" spans="1:12" s="6" customFormat="1" ht="15" customHeight="1">
      <c r="A213" s="18" t="s">
        <v>469</v>
      </c>
      <c r="B213" s="296" t="s">
        <v>241</v>
      </c>
      <c r="C213" s="297"/>
      <c r="D213" s="297"/>
      <c r="E213" s="297"/>
      <c r="F213" s="297"/>
      <c r="G213" s="297"/>
      <c r="H213" s="298"/>
      <c r="I213" s="31"/>
      <c r="L213" s="157"/>
    </row>
    <row r="214" spans="1:12" s="1" customFormat="1" ht="38.25">
      <c r="A214" s="23" t="s">
        <v>263</v>
      </c>
      <c r="B214" s="23" t="s">
        <v>31</v>
      </c>
      <c r="C214" s="23">
        <v>87261</v>
      </c>
      <c r="D214" s="195" t="s">
        <v>570</v>
      </c>
      <c r="E214" s="22" t="s">
        <v>42</v>
      </c>
      <c r="F214" s="52">
        <f>'MEMORIA DE CÁLCULO'!M1417</f>
        <v>40.501999999999995</v>
      </c>
      <c r="G214" s="52" t="s">
        <v>536</v>
      </c>
      <c r="H214" s="52">
        <f>G214*(1+$I$6)</f>
        <v>180.01013400000002</v>
      </c>
      <c r="I214" s="52">
        <f>H214*F214</f>
        <v>7290.7704472679998</v>
      </c>
    </row>
    <row r="215" spans="1:12" s="1" customFormat="1" ht="38.25">
      <c r="A215" s="23" t="s">
        <v>732</v>
      </c>
      <c r="B215" s="23" t="s">
        <v>31</v>
      </c>
      <c r="C215" s="23">
        <v>87262</v>
      </c>
      <c r="D215" s="195" t="s">
        <v>569</v>
      </c>
      <c r="E215" s="22" t="s">
        <v>42</v>
      </c>
      <c r="F215" s="52">
        <f>'MEMORIA DE CÁLCULO'!M1448</f>
        <v>74.641999999999996</v>
      </c>
      <c r="G215" s="52" t="s">
        <v>537</v>
      </c>
      <c r="H215" s="52">
        <f t="shared" ref="H215:H223" si="67">G215*(1+$I$6)</f>
        <v>154.48677000000001</v>
      </c>
      <c r="I215" s="52">
        <f t="shared" ref="I215:I223" si="68">H215*F215</f>
        <v>11531.20148634</v>
      </c>
    </row>
    <row r="216" spans="1:12" s="1" customFormat="1" ht="38.25">
      <c r="A216" s="23" t="s">
        <v>733</v>
      </c>
      <c r="B216" s="23" t="s">
        <v>31</v>
      </c>
      <c r="C216" s="23" t="s">
        <v>400</v>
      </c>
      <c r="D216" s="195" t="s">
        <v>401</v>
      </c>
      <c r="E216" s="22" t="s">
        <v>42</v>
      </c>
      <c r="F216" s="52">
        <f>'MEMORIA DE CÁLCULO'!M1482</f>
        <v>228.79899999999998</v>
      </c>
      <c r="G216" s="52" t="s">
        <v>538</v>
      </c>
      <c r="H216" s="52">
        <f t="shared" si="67"/>
        <v>176.51395199999999</v>
      </c>
      <c r="I216" s="52">
        <f t="shared" si="68"/>
        <v>40386.215703647991</v>
      </c>
    </row>
    <row r="217" spans="1:12" s="1" customFormat="1" ht="51">
      <c r="A217" s="23" t="s">
        <v>734</v>
      </c>
      <c r="B217" s="218" t="s">
        <v>678</v>
      </c>
      <c r="C217" s="23" t="s">
        <v>404</v>
      </c>
      <c r="D217" s="195" t="s">
        <v>405</v>
      </c>
      <c r="E217" s="22" t="s">
        <v>42</v>
      </c>
      <c r="F217" s="52">
        <f>'MEMORIA DE CÁLCULO'!M1489</f>
        <v>30.187000000000001</v>
      </c>
      <c r="G217" s="52">
        <v>67.09</v>
      </c>
      <c r="H217" s="52">
        <f t="shared" si="67"/>
        <v>82.882986000000002</v>
      </c>
      <c r="I217" s="52">
        <f t="shared" si="68"/>
        <v>2501.9886983820002</v>
      </c>
    </row>
    <row r="218" spans="1:12" s="1" customFormat="1" ht="14.25">
      <c r="A218" s="23" t="s">
        <v>834</v>
      </c>
      <c r="B218" s="218" t="s">
        <v>678</v>
      </c>
      <c r="C218" s="23" t="s">
        <v>402</v>
      </c>
      <c r="D218" s="195" t="s">
        <v>403</v>
      </c>
      <c r="E218" s="22" t="s">
        <v>42</v>
      </c>
      <c r="F218" s="52">
        <f>'MEMORIA DE CÁLCULO'!M1496</f>
        <v>24.36</v>
      </c>
      <c r="G218" s="52">
        <v>61.84</v>
      </c>
      <c r="H218" s="52">
        <f t="shared" si="67"/>
        <v>76.397136000000003</v>
      </c>
      <c r="I218" s="52">
        <f t="shared" si="68"/>
        <v>1861.0342329600001</v>
      </c>
    </row>
    <row r="219" spans="1:12" s="1" customFormat="1" ht="25.5">
      <c r="A219" s="23" t="s">
        <v>835</v>
      </c>
      <c r="B219" s="218" t="s">
        <v>678</v>
      </c>
      <c r="C219" s="23" t="s">
        <v>242</v>
      </c>
      <c r="D219" s="195" t="s">
        <v>243</v>
      </c>
      <c r="E219" s="22" t="s">
        <v>42</v>
      </c>
      <c r="F219" s="52">
        <f>'MEMORIA DE CÁLCULO'!M1515</f>
        <v>148.261</v>
      </c>
      <c r="G219" s="52">
        <v>4.8600000000000003</v>
      </c>
      <c r="H219" s="52">
        <f t="shared" si="67"/>
        <v>6.0040440000000004</v>
      </c>
      <c r="I219" s="52">
        <f t="shared" si="68"/>
        <v>890.16556748400001</v>
      </c>
    </row>
    <row r="220" spans="1:12" s="1" customFormat="1" ht="25.5">
      <c r="A220" s="23" t="s">
        <v>836</v>
      </c>
      <c r="B220" s="218" t="s">
        <v>678</v>
      </c>
      <c r="C220" s="23" t="s">
        <v>244</v>
      </c>
      <c r="D220" s="195" t="s">
        <v>245</v>
      </c>
      <c r="E220" s="22" t="s">
        <v>42</v>
      </c>
      <c r="F220" s="52">
        <f>'MEMORIA DE CÁLCULO'!M1615</f>
        <v>374.13000000000005</v>
      </c>
      <c r="G220" s="52">
        <v>58.47</v>
      </c>
      <c r="H220" s="52">
        <f t="shared" si="67"/>
        <v>72.233838000000006</v>
      </c>
      <c r="I220" s="52">
        <f t="shared" si="68"/>
        <v>27024.845810940005</v>
      </c>
    </row>
    <row r="221" spans="1:12" s="1" customFormat="1" ht="25.5">
      <c r="A221" s="23" t="s">
        <v>837</v>
      </c>
      <c r="B221" s="218" t="s">
        <v>678</v>
      </c>
      <c r="C221" s="23" t="s">
        <v>246</v>
      </c>
      <c r="D221" s="195" t="s">
        <v>247</v>
      </c>
      <c r="E221" s="22" t="s">
        <v>42</v>
      </c>
      <c r="F221" s="52">
        <f>'MEMORIA DE CÁLCULO'!M1625</f>
        <v>42.117999999999995</v>
      </c>
      <c r="G221" s="52">
        <v>2.84</v>
      </c>
      <c r="H221" s="52">
        <f t="shared" si="67"/>
        <v>3.5085359999999999</v>
      </c>
      <c r="I221" s="52">
        <f t="shared" si="68"/>
        <v>147.77251924799998</v>
      </c>
    </row>
    <row r="222" spans="1:12" s="1" customFormat="1" ht="25.5">
      <c r="A222" s="23" t="s">
        <v>838</v>
      </c>
      <c r="B222" s="218" t="s">
        <v>678</v>
      </c>
      <c r="C222" s="202" t="s">
        <v>248</v>
      </c>
      <c r="D222" s="199" t="s">
        <v>249</v>
      </c>
      <c r="E222" s="22" t="s">
        <v>42</v>
      </c>
      <c r="F222" s="52">
        <f>'MEMORIA DE CÁLCULO'!M1725</f>
        <v>374.13000000000005</v>
      </c>
      <c r="G222" s="52">
        <v>42.28</v>
      </c>
      <c r="H222" s="52">
        <f t="shared" si="67"/>
        <v>52.232712000000006</v>
      </c>
      <c r="I222" s="52">
        <f t="shared" si="68"/>
        <v>19541.824540560006</v>
      </c>
    </row>
    <row r="223" spans="1:12" s="1" customFormat="1" ht="25.5">
      <c r="A223" s="23" t="s">
        <v>839</v>
      </c>
      <c r="B223" s="218" t="s">
        <v>678</v>
      </c>
      <c r="C223" s="200" t="s">
        <v>391</v>
      </c>
      <c r="D223" s="195" t="s">
        <v>392</v>
      </c>
      <c r="E223" s="22" t="s">
        <v>42</v>
      </c>
      <c r="F223" s="52">
        <f>'MEMORIA DE CÁLCULO'!M1771</f>
        <v>3.7243499999999998</v>
      </c>
      <c r="G223" s="52">
        <v>300.87</v>
      </c>
      <c r="H223" s="52">
        <f t="shared" si="67"/>
        <v>371.69479800000005</v>
      </c>
      <c r="I223" s="52">
        <f t="shared" si="68"/>
        <v>1384.3215209313</v>
      </c>
    </row>
    <row r="224" spans="1:12" s="1" customFormat="1" ht="14.25">
      <c r="A224" s="287" t="s">
        <v>61</v>
      </c>
      <c r="B224" s="288"/>
      <c r="C224" s="288"/>
      <c r="D224" s="288"/>
      <c r="E224" s="24" t="str">
        <f>A213</f>
        <v>14.</v>
      </c>
      <c r="F224" s="25" t="s">
        <v>50</v>
      </c>
      <c r="G224" s="289">
        <f>ROUND(SUM(I214:I223),2)</f>
        <v>112560.14</v>
      </c>
      <c r="H224" s="290"/>
      <c r="I224" s="7"/>
    </row>
    <row r="225" spans="1:12" s="6" customFormat="1" ht="15" customHeight="1">
      <c r="A225" s="18" t="s">
        <v>473</v>
      </c>
      <c r="B225" s="296" t="s">
        <v>468</v>
      </c>
      <c r="C225" s="297"/>
      <c r="D225" s="297"/>
      <c r="E225" s="297"/>
      <c r="F225" s="297"/>
      <c r="G225" s="297"/>
      <c r="H225" s="298"/>
      <c r="I225" s="31"/>
      <c r="L225" s="157"/>
    </row>
    <row r="226" spans="1:12" s="1" customFormat="1" ht="38.25">
      <c r="A226" s="23" t="s">
        <v>300</v>
      </c>
      <c r="B226" s="218" t="s">
        <v>678</v>
      </c>
      <c r="C226" s="203" t="s">
        <v>304</v>
      </c>
      <c r="D226" s="104" t="s">
        <v>471</v>
      </c>
      <c r="E226" s="32" t="s">
        <v>42</v>
      </c>
      <c r="F226" s="52">
        <f>'MEMORIA DE CÁLCULO'!M1780</f>
        <v>35.709000000000003</v>
      </c>
      <c r="G226" s="52">
        <v>52.76</v>
      </c>
      <c r="H226" s="52">
        <f t="shared" ref="H226" si="69">G226*(1+$I$6)</f>
        <v>65.179704000000001</v>
      </c>
      <c r="I226" s="52">
        <f t="shared" ref="I226" si="70">H226*F226</f>
        <v>2327.5020501360004</v>
      </c>
    </row>
    <row r="227" spans="1:12" s="1" customFormat="1" ht="38.25">
      <c r="A227" s="23" t="s">
        <v>314</v>
      </c>
      <c r="B227" s="218" t="s">
        <v>678</v>
      </c>
      <c r="C227" s="203" t="s">
        <v>305</v>
      </c>
      <c r="D227" s="104" t="s">
        <v>306</v>
      </c>
      <c r="E227" s="32" t="s">
        <v>33</v>
      </c>
      <c r="F227" s="52">
        <f>'MEMORIA DE CÁLCULO'!M1787</f>
        <v>30.234999999999999</v>
      </c>
      <c r="G227" s="52">
        <v>17.62</v>
      </c>
      <c r="H227" s="52">
        <f t="shared" ref="H227" si="71">G227*(1+$I$6)</f>
        <v>21.767748000000001</v>
      </c>
      <c r="I227" s="52">
        <f t="shared" ref="I227" si="72">H227*F227</f>
        <v>658.14786077999997</v>
      </c>
    </row>
    <row r="228" spans="1:12" s="1" customFormat="1" ht="14.25">
      <c r="A228" s="287" t="s">
        <v>61</v>
      </c>
      <c r="B228" s="288"/>
      <c r="C228" s="288"/>
      <c r="D228" s="288"/>
      <c r="E228" s="24" t="str">
        <f>A225</f>
        <v>15.</v>
      </c>
      <c r="F228" s="25" t="s">
        <v>50</v>
      </c>
      <c r="G228" s="289">
        <f>ROUND(SUM(I226:I227),2)</f>
        <v>2985.65</v>
      </c>
      <c r="H228" s="290"/>
      <c r="I228" s="7"/>
    </row>
    <row r="229" spans="1:12" s="6" customFormat="1" ht="15" customHeight="1">
      <c r="A229" s="18" t="s">
        <v>472</v>
      </c>
      <c r="B229" s="296" t="s">
        <v>463</v>
      </c>
      <c r="C229" s="297"/>
      <c r="D229" s="297"/>
      <c r="E229" s="297"/>
      <c r="F229" s="297"/>
      <c r="G229" s="297"/>
      <c r="H229" s="298"/>
      <c r="I229" s="31"/>
      <c r="L229" s="157"/>
    </row>
    <row r="230" spans="1:12" s="1" customFormat="1" ht="25.5">
      <c r="A230" s="23" t="s">
        <v>840</v>
      </c>
      <c r="B230" s="265" t="s">
        <v>31</v>
      </c>
      <c r="C230" s="23">
        <v>103246</v>
      </c>
      <c r="D230" s="195" t="s">
        <v>912</v>
      </c>
      <c r="E230" s="22" t="s">
        <v>44</v>
      </c>
      <c r="F230" s="52">
        <f>'MEMORIA DE CÁLCULO'!M1802</f>
        <v>3</v>
      </c>
      <c r="G230" s="52">
        <v>2033.58</v>
      </c>
      <c r="H230" s="52">
        <f t="shared" ref="H230:H235" si="73">G230*(1+$I$6)</f>
        <v>2512.2847320000001</v>
      </c>
      <c r="I230" s="52">
        <f>H230*F230</f>
        <v>7536.8541960000002</v>
      </c>
    </row>
    <row r="231" spans="1:12" s="1" customFormat="1" ht="25.5">
      <c r="A231" s="23" t="s">
        <v>916</v>
      </c>
      <c r="B231" s="265" t="s">
        <v>31</v>
      </c>
      <c r="C231" s="23">
        <v>103249</v>
      </c>
      <c r="D231" s="195" t="s">
        <v>913</v>
      </c>
      <c r="E231" s="22" t="s">
        <v>44</v>
      </c>
      <c r="F231" s="52">
        <f>'MEMORIA DE CÁLCULO'!M1812</f>
        <v>2</v>
      </c>
      <c r="G231" s="52">
        <v>2301.09</v>
      </c>
      <c r="H231" s="52">
        <f t="shared" si="73"/>
        <v>2842.7665860000002</v>
      </c>
      <c r="I231" s="52">
        <f t="shared" ref="I231:I235" si="74">H231*F231</f>
        <v>5685.5331720000004</v>
      </c>
    </row>
    <row r="232" spans="1:12" s="1" customFormat="1" ht="25.5">
      <c r="A232" s="23" t="s">
        <v>917</v>
      </c>
      <c r="B232" s="265" t="s">
        <v>31</v>
      </c>
      <c r="C232" s="23">
        <v>103252</v>
      </c>
      <c r="D232" s="195" t="s">
        <v>914</v>
      </c>
      <c r="E232" s="22" t="s">
        <v>44</v>
      </c>
      <c r="F232" s="52">
        <f>'MEMORIA DE CÁLCULO'!M1819</f>
        <v>1</v>
      </c>
      <c r="G232" s="52">
        <v>3322.56</v>
      </c>
      <c r="H232" s="52">
        <f t="shared" si="73"/>
        <v>4104.6906239999998</v>
      </c>
      <c r="I232" s="52">
        <f t="shared" si="74"/>
        <v>4104.6906239999998</v>
      </c>
    </row>
    <row r="233" spans="1:12" s="1" customFormat="1" ht="25.5">
      <c r="A233" s="23" t="s">
        <v>918</v>
      </c>
      <c r="B233" s="265" t="s">
        <v>31</v>
      </c>
      <c r="C233" s="23">
        <v>103255</v>
      </c>
      <c r="D233" s="195" t="s">
        <v>915</v>
      </c>
      <c r="E233" s="22" t="s">
        <v>44</v>
      </c>
      <c r="F233" s="52">
        <f>'MEMORIA DE CÁLCULO'!M1826</f>
        <v>1</v>
      </c>
      <c r="G233" s="52">
        <v>4328.5</v>
      </c>
      <c r="H233" s="52">
        <f t="shared" si="73"/>
        <v>5347.4288999999999</v>
      </c>
      <c r="I233" s="52">
        <f t="shared" si="74"/>
        <v>5347.4288999999999</v>
      </c>
    </row>
    <row r="234" spans="1:12" s="1" customFormat="1" ht="38.25">
      <c r="A234" s="23" t="s">
        <v>921</v>
      </c>
      <c r="B234" s="265" t="s">
        <v>31</v>
      </c>
      <c r="C234" s="203">
        <v>106034</v>
      </c>
      <c r="D234" s="104" t="s">
        <v>919</v>
      </c>
      <c r="E234" s="32" t="s">
        <v>33</v>
      </c>
      <c r="F234" s="52">
        <f>'MEMORIA DE CÁLCULO'!M1851</f>
        <v>21</v>
      </c>
      <c r="G234" s="52">
        <v>138.34</v>
      </c>
      <c r="H234" s="52">
        <f t="shared" si="73"/>
        <v>170.905236</v>
      </c>
      <c r="I234" s="52">
        <f t="shared" si="74"/>
        <v>3589.0099559999999</v>
      </c>
    </row>
    <row r="235" spans="1:12" s="1" customFormat="1" ht="25.5">
      <c r="A235" s="23" t="s">
        <v>922</v>
      </c>
      <c r="B235" s="265" t="s">
        <v>31</v>
      </c>
      <c r="C235" s="23">
        <v>104315</v>
      </c>
      <c r="D235" s="195" t="s">
        <v>920</v>
      </c>
      <c r="E235" s="32" t="s">
        <v>33</v>
      </c>
      <c r="F235" s="52">
        <f>'MEMORIA DE CÁLCULO'!M1876</f>
        <v>19.25</v>
      </c>
      <c r="G235" s="52">
        <v>17.34</v>
      </c>
      <c r="H235" s="52">
        <f t="shared" si="73"/>
        <v>21.421835999999999</v>
      </c>
      <c r="I235" s="52">
        <f t="shared" si="74"/>
        <v>412.37034299999999</v>
      </c>
    </row>
    <row r="236" spans="1:12" s="1" customFormat="1" ht="14.25">
      <c r="A236" s="287" t="s">
        <v>61</v>
      </c>
      <c r="B236" s="288"/>
      <c r="C236" s="288"/>
      <c r="D236" s="288"/>
      <c r="E236" s="24" t="str">
        <f>A229</f>
        <v>16.</v>
      </c>
      <c r="F236" s="25" t="s">
        <v>50</v>
      </c>
      <c r="G236" s="289">
        <f>ROUND(SUM(I230:I235),2)</f>
        <v>26675.89</v>
      </c>
      <c r="H236" s="290"/>
      <c r="I236" s="7"/>
    </row>
    <row r="237" spans="1:12" s="6" customFormat="1" ht="15" customHeight="1">
      <c r="A237" s="18" t="s">
        <v>466</v>
      </c>
      <c r="B237" s="296" t="s">
        <v>464</v>
      </c>
      <c r="C237" s="297"/>
      <c r="D237" s="297"/>
      <c r="E237" s="297"/>
      <c r="F237" s="297"/>
      <c r="G237" s="297"/>
      <c r="H237" s="298"/>
      <c r="I237" s="31"/>
      <c r="L237" s="157"/>
    </row>
    <row r="238" spans="1:12" s="1" customFormat="1" ht="25.5">
      <c r="A238" s="188" t="s">
        <v>841</v>
      </c>
      <c r="B238" s="190" t="s">
        <v>31</v>
      </c>
      <c r="C238" s="190" t="s">
        <v>323</v>
      </c>
      <c r="D238" s="191" t="s">
        <v>324</v>
      </c>
      <c r="E238" s="22" t="s">
        <v>286</v>
      </c>
      <c r="F238" s="22">
        <f>'MEMORIA DE CÁLCULO'!M1885</f>
        <v>48</v>
      </c>
      <c r="G238" s="52" t="s">
        <v>519</v>
      </c>
      <c r="H238" s="22">
        <f>G238*(1+$I$6)</f>
        <v>131.48362200000003</v>
      </c>
      <c r="I238" s="22">
        <f>H238*F238</f>
        <v>6311.2138560000012</v>
      </c>
    </row>
    <row r="239" spans="1:12" s="1" customFormat="1" ht="14.25">
      <c r="A239" s="237" t="s">
        <v>842</v>
      </c>
      <c r="B239" s="190" t="s">
        <v>31</v>
      </c>
      <c r="C239" s="190" t="s">
        <v>325</v>
      </c>
      <c r="D239" s="191" t="s">
        <v>326</v>
      </c>
      <c r="E239" s="22" t="s">
        <v>286</v>
      </c>
      <c r="F239" s="22">
        <f>'MEMORIA DE CÁLCULO'!M1892</f>
        <v>120</v>
      </c>
      <c r="G239" s="52" t="s">
        <v>539</v>
      </c>
      <c r="H239" s="22">
        <f t="shared" ref="H239" si="75">G239*(1+$I$6)</f>
        <v>59.719236000000009</v>
      </c>
      <c r="I239" s="22">
        <f t="shared" ref="I239" si="76">H239*F239</f>
        <v>7166.308320000001</v>
      </c>
    </row>
    <row r="240" spans="1:12" s="1" customFormat="1" ht="14.25">
      <c r="A240" s="287" t="s">
        <v>61</v>
      </c>
      <c r="B240" s="288"/>
      <c r="C240" s="288"/>
      <c r="D240" s="288"/>
      <c r="E240" s="24" t="str">
        <f>A237</f>
        <v>17.</v>
      </c>
      <c r="F240" s="25" t="s">
        <v>50</v>
      </c>
      <c r="G240" s="289">
        <f>ROUND(SUM(I238:I239),2)</f>
        <v>13477.52</v>
      </c>
      <c r="H240" s="290"/>
      <c r="I240" s="7"/>
    </row>
    <row r="241" spans="1:9" s="1" customFormat="1" ht="15" customHeight="1">
      <c r="A241" s="20" t="s">
        <v>467</v>
      </c>
      <c r="B241" s="293" t="s">
        <v>34</v>
      </c>
      <c r="C241" s="294"/>
      <c r="D241" s="294"/>
      <c r="E241" s="294"/>
      <c r="F241" s="294"/>
      <c r="G241" s="294"/>
      <c r="H241" s="295"/>
      <c r="I241" s="26"/>
    </row>
    <row r="242" spans="1:9" s="6" customFormat="1" ht="14.25">
      <c r="A242" s="188" t="s">
        <v>735</v>
      </c>
      <c r="B242" s="218" t="s">
        <v>678</v>
      </c>
      <c r="C242" s="203" t="s">
        <v>35</v>
      </c>
      <c r="D242" s="204" t="s">
        <v>147</v>
      </c>
      <c r="E242" s="32" t="s">
        <v>42</v>
      </c>
      <c r="F242" s="32">
        <f>'MEMORIA DE CÁLCULO'!M1901</f>
        <v>449.71</v>
      </c>
      <c r="G242" s="193">
        <v>6.95</v>
      </c>
      <c r="H242" s="32">
        <f>G242*(1+$I$6)</f>
        <v>8.5860300000000009</v>
      </c>
      <c r="I242" s="32">
        <f>H242*F242</f>
        <v>3861.2235513000001</v>
      </c>
    </row>
    <row r="243" spans="1:9" s="1" customFormat="1" ht="14.25">
      <c r="A243" s="263" t="s">
        <v>886</v>
      </c>
      <c r="B243" s="218" t="s">
        <v>678</v>
      </c>
      <c r="C243" s="202" t="s">
        <v>327</v>
      </c>
      <c r="D243" s="199" t="s">
        <v>328</v>
      </c>
      <c r="E243" s="32" t="s">
        <v>329</v>
      </c>
      <c r="F243" s="52">
        <f>'MEMORIA DE CÁLCULO'!M1908</f>
        <v>6</v>
      </c>
      <c r="G243" s="193">
        <v>2038.3</v>
      </c>
      <c r="H243" s="32">
        <f t="shared" ref="H243:H251" si="77">G243*(1+$I$6)</f>
        <v>2518.11582</v>
      </c>
      <c r="I243" s="32">
        <f t="shared" ref="I243:I251" si="78">H243*F243</f>
        <v>15108.69492</v>
      </c>
    </row>
    <row r="244" spans="1:9" s="6" customFormat="1" ht="51">
      <c r="A244" s="263" t="s">
        <v>887</v>
      </c>
      <c r="B244" s="218" t="s">
        <v>678</v>
      </c>
      <c r="C244" s="203" t="s">
        <v>208</v>
      </c>
      <c r="D244" s="204" t="s">
        <v>209</v>
      </c>
      <c r="E244" s="32" t="s">
        <v>44</v>
      </c>
      <c r="F244" s="32">
        <f>'MEMORIA DE CÁLCULO'!M1918</f>
        <v>6</v>
      </c>
      <c r="G244" s="193">
        <v>226.89</v>
      </c>
      <c r="H244" s="32">
        <f t="shared" si="77"/>
        <v>280.29990600000002</v>
      </c>
      <c r="I244" s="32">
        <f t="shared" si="78"/>
        <v>1681.7994360000002</v>
      </c>
    </row>
    <row r="245" spans="1:9" s="6" customFormat="1" ht="51">
      <c r="A245" s="263" t="s">
        <v>888</v>
      </c>
      <c r="B245" s="218" t="s">
        <v>678</v>
      </c>
      <c r="C245" s="203" t="s">
        <v>210</v>
      </c>
      <c r="D245" s="204" t="s">
        <v>211</v>
      </c>
      <c r="E245" s="32" t="s">
        <v>44</v>
      </c>
      <c r="F245" s="32">
        <f>'MEMORIA DE CÁLCULO'!M1928</f>
        <v>4</v>
      </c>
      <c r="G245" s="193">
        <v>218.79</v>
      </c>
      <c r="H245" s="32">
        <f t="shared" si="77"/>
        <v>270.29316599999999</v>
      </c>
      <c r="I245" s="32">
        <f t="shared" si="78"/>
        <v>1081.1726639999999</v>
      </c>
    </row>
    <row r="246" spans="1:9" s="6" customFormat="1" ht="51">
      <c r="A246" s="263" t="s">
        <v>889</v>
      </c>
      <c r="B246" s="218" t="s">
        <v>678</v>
      </c>
      <c r="C246" s="203" t="s">
        <v>212</v>
      </c>
      <c r="D246" s="204" t="s">
        <v>213</v>
      </c>
      <c r="E246" s="32" t="s">
        <v>44</v>
      </c>
      <c r="F246" s="32">
        <f>'MEMORIA DE CÁLCULO'!M1938</f>
        <v>6</v>
      </c>
      <c r="G246" s="193">
        <v>179.17</v>
      </c>
      <c r="H246" s="32">
        <f t="shared" si="77"/>
        <v>221.34661800000001</v>
      </c>
      <c r="I246" s="32">
        <f t="shared" si="78"/>
        <v>1328.079708</v>
      </c>
    </row>
    <row r="247" spans="1:9" s="6" customFormat="1" ht="51">
      <c r="A247" s="263" t="s">
        <v>890</v>
      </c>
      <c r="B247" s="218" t="s">
        <v>678</v>
      </c>
      <c r="C247" s="203" t="s">
        <v>436</v>
      </c>
      <c r="D247" s="204" t="s">
        <v>437</v>
      </c>
      <c r="E247" s="32" t="s">
        <v>44</v>
      </c>
      <c r="F247" s="32">
        <f>'MEMORIA DE CÁLCULO'!M1948</f>
        <v>4</v>
      </c>
      <c r="G247" s="193">
        <v>136.63</v>
      </c>
      <c r="H247" s="32">
        <f t="shared" si="77"/>
        <v>168.79270199999999</v>
      </c>
      <c r="I247" s="32">
        <f t="shared" si="78"/>
        <v>675.17080799999997</v>
      </c>
    </row>
    <row r="248" spans="1:9" s="6" customFormat="1" ht="14.25">
      <c r="A248" s="263" t="s">
        <v>891</v>
      </c>
      <c r="B248" s="218" t="s">
        <v>678</v>
      </c>
      <c r="C248" s="203" t="s">
        <v>214</v>
      </c>
      <c r="D248" s="204" t="s">
        <v>215</v>
      </c>
      <c r="E248" s="32" t="s">
        <v>44</v>
      </c>
      <c r="F248" s="32">
        <f>'MEMORIA DE CÁLCULO'!M1958</f>
        <v>2</v>
      </c>
      <c r="G248" s="193">
        <v>64.599999999999994</v>
      </c>
      <c r="H248" s="32">
        <f t="shared" si="77"/>
        <v>79.806839999999994</v>
      </c>
      <c r="I248" s="32">
        <f t="shared" si="78"/>
        <v>159.61367999999999</v>
      </c>
    </row>
    <row r="249" spans="1:9" s="6" customFormat="1" ht="25.5">
      <c r="A249" s="263" t="s">
        <v>892</v>
      </c>
      <c r="B249" s="218" t="s">
        <v>678</v>
      </c>
      <c r="C249" s="203" t="s">
        <v>216</v>
      </c>
      <c r="D249" s="204" t="s">
        <v>217</v>
      </c>
      <c r="E249" s="32" t="s">
        <v>44</v>
      </c>
      <c r="F249" s="32">
        <f>'MEMORIA DE CÁLCULO'!M1968</f>
        <v>2</v>
      </c>
      <c r="G249" s="193">
        <v>63.19</v>
      </c>
      <c r="H249" s="32">
        <f t="shared" si="77"/>
        <v>78.064926</v>
      </c>
      <c r="I249" s="32">
        <f t="shared" si="78"/>
        <v>156.129852</v>
      </c>
    </row>
    <row r="250" spans="1:9" s="1" customFormat="1" ht="28.5" customHeight="1">
      <c r="A250" s="263" t="s">
        <v>893</v>
      </c>
      <c r="B250" s="218" t="s">
        <v>678</v>
      </c>
      <c r="C250" s="200" t="s">
        <v>387</v>
      </c>
      <c r="D250" s="195" t="s">
        <v>388</v>
      </c>
      <c r="E250" s="22" t="s">
        <v>44</v>
      </c>
      <c r="F250" s="201">
        <f>'MEMORIA DE CÁLCULO'!M1975</f>
        <v>1</v>
      </c>
      <c r="G250" s="193">
        <v>107.65</v>
      </c>
      <c r="H250" s="32">
        <f t="shared" si="77"/>
        <v>132.99081000000001</v>
      </c>
      <c r="I250" s="32">
        <f t="shared" si="78"/>
        <v>132.99081000000001</v>
      </c>
    </row>
    <row r="251" spans="1:9" s="6" customFormat="1" ht="51">
      <c r="A251" s="263" t="s">
        <v>894</v>
      </c>
      <c r="B251" s="263" t="s">
        <v>678</v>
      </c>
      <c r="C251" s="203" t="s">
        <v>223</v>
      </c>
      <c r="D251" s="204" t="s">
        <v>224</v>
      </c>
      <c r="E251" s="32" t="s">
        <v>33</v>
      </c>
      <c r="F251" s="32">
        <f>'MEMORIA DE CÁLCULO'!M1982</f>
        <v>39.72</v>
      </c>
      <c r="G251" s="193">
        <v>126.95</v>
      </c>
      <c r="H251" s="32">
        <f t="shared" si="77"/>
        <v>156.83403000000001</v>
      </c>
      <c r="I251" s="32">
        <f t="shared" si="78"/>
        <v>6229.4476715999999</v>
      </c>
    </row>
    <row r="252" spans="1:9" s="6" customFormat="1" ht="63.75">
      <c r="A252" s="263" t="s">
        <v>895</v>
      </c>
      <c r="B252" s="218" t="s">
        <v>678</v>
      </c>
      <c r="C252" s="210" t="s">
        <v>604</v>
      </c>
      <c r="D252" s="192" t="s">
        <v>605</v>
      </c>
      <c r="E252" s="32" t="s">
        <v>42</v>
      </c>
      <c r="F252" s="193">
        <f>'MEMORIA DE CÁLCULO'!M2013</f>
        <v>108.75959999999999</v>
      </c>
      <c r="G252" s="193">
        <v>18.78</v>
      </c>
      <c r="H252" s="32">
        <f t="shared" ref="H252:H257" si="79">G252*(1+$I$6)</f>
        <v>23.200812000000003</v>
      </c>
      <c r="I252" s="32">
        <f t="shared" ref="I252:I257" si="80">H252*F252</f>
        <v>2523.3110327951999</v>
      </c>
    </row>
    <row r="253" spans="1:9" s="6" customFormat="1" ht="42" customHeight="1">
      <c r="A253" s="263" t="s">
        <v>896</v>
      </c>
      <c r="B253" s="256" t="s">
        <v>678</v>
      </c>
      <c r="C253" s="256" t="s">
        <v>606</v>
      </c>
      <c r="D253" s="192" t="s">
        <v>607</v>
      </c>
      <c r="E253" s="32" t="s">
        <v>42</v>
      </c>
      <c r="F253" s="193">
        <f>'MEMORIA DE CÁLCULO'!M2062</f>
        <v>150.90199999999999</v>
      </c>
      <c r="G253" s="193">
        <v>18.71</v>
      </c>
      <c r="H253" s="32">
        <f t="shared" si="79"/>
        <v>23.114334000000003</v>
      </c>
      <c r="I253" s="32">
        <f t="shared" si="80"/>
        <v>3487.9992292680004</v>
      </c>
    </row>
    <row r="254" spans="1:9" s="6" customFormat="1" ht="51">
      <c r="A254" s="263" t="s">
        <v>897</v>
      </c>
      <c r="B254" s="218" t="s">
        <v>678</v>
      </c>
      <c r="C254" s="210" t="s">
        <v>608</v>
      </c>
      <c r="D254" s="192" t="s">
        <v>609</v>
      </c>
      <c r="E254" s="32" t="s">
        <v>42</v>
      </c>
      <c r="F254" s="193">
        <f>'MEMORIA DE CÁLCULO'!M2138</f>
        <v>245.173</v>
      </c>
      <c r="G254" s="193">
        <v>20.05</v>
      </c>
      <c r="H254" s="32">
        <f t="shared" si="79"/>
        <v>24.769770000000001</v>
      </c>
      <c r="I254" s="32">
        <f t="shared" si="80"/>
        <v>6072.8788202100004</v>
      </c>
    </row>
    <row r="255" spans="1:9" s="6" customFormat="1" ht="38.25">
      <c r="A255" s="263" t="s">
        <v>898</v>
      </c>
      <c r="B255" s="218" t="s">
        <v>678</v>
      </c>
      <c r="C255" s="210" t="s">
        <v>610</v>
      </c>
      <c r="D255" s="192" t="s">
        <v>611</v>
      </c>
      <c r="E255" s="32" t="s">
        <v>42</v>
      </c>
      <c r="F255" s="193">
        <f>'MEMORIA DE CÁLCULO'!M2169</f>
        <v>94.270999999999987</v>
      </c>
      <c r="G255" s="193">
        <v>9.9499999999999993</v>
      </c>
      <c r="H255" s="32">
        <f t="shared" si="79"/>
        <v>12.29223</v>
      </c>
      <c r="I255" s="32">
        <f t="shared" si="80"/>
        <v>1158.8008143299999</v>
      </c>
    </row>
    <row r="256" spans="1:9" s="6" customFormat="1" ht="25.5">
      <c r="A256" s="263" t="s">
        <v>899</v>
      </c>
      <c r="B256" s="218" t="s">
        <v>31</v>
      </c>
      <c r="C256" s="218">
        <v>97650</v>
      </c>
      <c r="D256" s="192" t="s">
        <v>674</v>
      </c>
      <c r="E256" s="32" t="s">
        <v>42</v>
      </c>
      <c r="F256" s="193">
        <f>'MEMORIA DE CÁLCULO'!M2176</f>
        <v>28.492999999999999</v>
      </c>
      <c r="G256" s="193">
        <v>8.3000000000000007</v>
      </c>
      <c r="H256" s="32">
        <f t="shared" si="79"/>
        <v>10.253820000000001</v>
      </c>
      <c r="I256" s="32">
        <f>H256*F256</f>
        <v>292.16209326000001</v>
      </c>
    </row>
    <row r="257" spans="1:13" s="6" customFormat="1" ht="25.5">
      <c r="A257" s="263" t="s">
        <v>900</v>
      </c>
      <c r="B257" s="218"/>
      <c r="C257" s="218">
        <v>97644</v>
      </c>
      <c r="D257" s="192" t="s">
        <v>697</v>
      </c>
      <c r="E257" s="32" t="s">
        <v>42</v>
      </c>
      <c r="F257" s="193">
        <f>'MEMORIA DE CÁLCULO'!M2192</f>
        <v>10.504200000000001</v>
      </c>
      <c r="G257" s="193">
        <v>10.35</v>
      </c>
      <c r="H257" s="32">
        <f t="shared" si="79"/>
        <v>12.786390000000001</v>
      </c>
      <c r="I257" s="32">
        <f t="shared" si="80"/>
        <v>134.31079783800001</v>
      </c>
    </row>
    <row r="258" spans="1:13" s="1" customFormat="1" ht="14.25">
      <c r="A258" s="287" t="s">
        <v>61</v>
      </c>
      <c r="B258" s="288"/>
      <c r="C258" s="288"/>
      <c r="D258" s="288"/>
      <c r="E258" s="24" t="str">
        <f>A241</f>
        <v>18.</v>
      </c>
      <c r="F258" s="25" t="s">
        <v>50</v>
      </c>
      <c r="G258" s="289">
        <f>ROUND(SUM(I242:I257),2)</f>
        <v>44083.79</v>
      </c>
      <c r="H258" s="290"/>
      <c r="I258" s="7"/>
    </row>
    <row r="259" spans="1:13" s="1" customFormat="1" ht="49.5" customHeight="1">
      <c r="A259" s="306" t="s">
        <v>117</v>
      </c>
      <c r="B259" s="307"/>
      <c r="C259" s="307"/>
      <c r="D259" s="307"/>
      <c r="E259" s="307"/>
      <c r="F259" s="307"/>
      <c r="G259" s="307"/>
      <c r="H259" s="308"/>
      <c r="I259" s="34">
        <f>ROUND(G258+G240+G236+G228+G224+G212+G190+G186+G169+G166+G128+G94+G86+G73+G65+G44+G21+G15,2)</f>
        <v>786872.28</v>
      </c>
      <c r="K259" s="15">
        <f>ROUND(SUM(I11:I257),2)</f>
        <v>786872.27</v>
      </c>
      <c r="M259" s="15" t="b">
        <f>IF(SUM(I259)=K259,TRUE,FALSE)</f>
        <v>0</v>
      </c>
    </row>
    <row r="260" spans="1:13" s="1" customFormat="1" ht="14.25" customHeight="1">
      <c r="A260" s="309" t="s">
        <v>880</v>
      </c>
      <c r="B260" s="309"/>
      <c r="C260" s="309"/>
      <c r="D260" s="309"/>
      <c r="E260" s="309"/>
      <c r="F260" s="309"/>
      <c r="G260" s="309"/>
      <c r="H260" s="309"/>
      <c r="I260" s="309"/>
    </row>
    <row r="261" spans="1:13" s="1" customFormat="1" ht="28.5" customHeight="1">
      <c r="A261" s="309"/>
      <c r="B261" s="309"/>
      <c r="C261" s="309"/>
      <c r="D261" s="309"/>
      <c r="E261" s="309"/>
      <c r="F261" s="309"/>
      <c r="G261" s="309"/>
      <c r="H261" s="309"/>
      <c r="I261" s="309"/>
    </row>
    <row r="262" spans="1:13" s="1" customFormat="1" ht="28.5" customHeight="1">
      <c r="A262" s="303"/>
      <c r="B262" s="304"/>
      <c r="C262" s="304"/>
      <c r="D262" s="304"/>
      <c r="E262" s="304"/>
      <c r="F262" s="304"/>
      <c r="G262" s="304"/>
      <c r="H262" s="304"/>
      <c r="I262" s="305"/>
      <c r="K262" s="15"/>
    </row>
    <row r="263" spans="1:13" s="1" customFormat="1" ht="14.25">
      <c r="A263" s="281"/>
      <c r="B263" s="282"/>
      <c r="C263" s="282"/>
      <c r="D263" s="282"/>
      <c r="E263" s="282"/>
      <c r="F263" s="282"/>
      <c r="G263" s="282"/>
      <c r="H263" s="282"/>
      <c r="I263" s="283"/>
    </row>
    <row r="264" spans="1:13">
      <c r="A264" s="284" t="s">
        <v>12</v>
      </c>
      <c r="B264" s="285"/>
      <c r="C264" s="285"/>
      <c r="D264" s="285"/>
      <c r="E264" s="285"/>
      <c r="F264" s="285"/>
      <c r="G264" s="285"/>
      <c r="H264" s="285"/>
      <c r="I264" s="286"/>
    </row>
    <row r="265" spans="1:13">
      <c r="A265" s="284" t="s">
        <v>29</v>
      </c>
      <c r="B265" s="285"/>
      <c r="C265" s="285"/>
      <c r="D265" s="285"/>
      <c r="E265" s="285"/>
      <c r="F265" s="285"/>
      <c r="G265" s="285"/>
      <c r="H265" s="285"/>
      <c r="I265" s="286"/>
      <c r="L265" s="159"/>
    </row>
    <row r="266" spans="1:13">
      <c r="A266" s="275" t="s">
        <v>30</v>
      </c>
      <c r="B266" s="276"/>
      <c r="C266" s="276"/>
      <c r="D266" s="276"/>
      <c r="E266" s="276"/>
      <c r="F266" s="276"/>
      <c r="G266" s="276"/>
      <c r="H266" s="276"/>
      <c r="I266" s="277"/>
    </row>
    <row r="267" spans="1:13">
      <c r="A267" s="275"/>
      <c r="B267" s="276"/>
      <c r="C267" s="276"/>
      <c r="D267" s="276"/>
      <c r="E267" s="276"/>
      <c r="F267" s="276"/>
      <c r="G267" s="276"/>
      <c r="H267" s="276"/>
      <c r="I267" s="277"/>
    </row>
    <row r="268" spans="1:13">
      <c r="A268" s="278"/>
      <c r="B268" s="279"/>
      <c r="C268" s="279"/>
      <c r="D268" s="279"/>
      <c r="E268" s="279"/>
      <c r="F268" s="279"/>
      <c r="G268" s="279"/>
      <c r="H268" s="279"/>
      <c r="I268" s="280"/>
    </row>
  </sheetData>
  <mergeCells count="107">
    <mergeCell ref="G51:H51"/>
    <mergeCell ref="G56:H56"/>
    <mergeCell ref="G64:H64"/>
    <mergeCell ref="A51:D51"/>
    <mergeCell ref="A56:D56"/>
    <mergeCell ref="A64:D64"/>
    <mergeCell ref="B66:H66"/>
    <mergeCell ref="A73:D73"/>
    <mergeCell ref="G73:H73"/>
    <mergeCell ref="A65:D65"/>
    <mergeCell ref="G65:H65"/>
    <mergeCell ref="A157:D157"/>
    <mergeCell ref="A166:D166"/>
    <mergeCell ref="G94:H94"/>
    <mergeCell ref="A86:D86"/>
    <mergeCell ref="G86:H86"/>
    <mergeCell ref="B95:H95"/>
    <mergeCell ref="G212:H212"/>
    <mergeCell ref="A198:D198"/>
    <mergeCell ref="G198:H198"/>
    <mergeCell ref="A203:D203"/>
    <mergeCell ref="G203:H203"/>
    <mergeCell ref="A207:D207"/>
    <mergeCell ref="G207:H207"/>
    <mergeCell ref="A128:D128"/>
    <mergeCell ref="A147:D147"/>
    <mergeCell ref="A21:D21"/>
    <mergeCell ref="G21:H21"/>
    <mergeCell ref="A36:D36"/>
    <mergeCell ref="A15:D15"/>
    <mergeCell ref="A29:D29"/>
    <mergeCell ref="G29:H29"/>
    <mergeCell ref="B225:H225"/>
    <mergeCell ref="A228:D228"/>
    <mergeCell ref="G228:H228"/>
    <mergeCell ref="A169:D169"/>
    <mergeCell ref="G169:H169"/>
    <mergeCell ref="A165:D165"/>
    <mergeCell ref="G128:H128"/>
    <mergeCell ref="G147:H147"/>
    <mergeCell ref="B74:H74"/>
    <mergeCell ref="G165:H165"/>
    <mergeCell ref="B167:H167"/>
    <mergeCell ref="G166:H166"/>
    <mergeCell ref="A161:D161"/>
    <mergeCell ref="B87:H87"/>
    <mergeCell ref="A94:D94"/>
    <mergeCell ref="G157:H157"/>
    <mergeCell ref="G161:H161"/>
    <mergeCell ref="B129:H129"/>
    <mergeCell ref="A240:D240"/>
    <mergeCell ref="G240:H240"/>
    <mergeCell ref="D1:I1"/>
    <mergeCell ref="A2:I2"/>
    <mergeCell ref="A3:G3"/>
    <mergeCell ref="A4:E4"/>
    <mergeCell ref="A1:C1"/>
    <mergeCell ref="F4:I4"/>
    <mergeCell ref="F5:F6"/>
    <mergeCell ref="G5:G6"/>
    <mergeCell ref="A5:E5"/>
    <mergeCell ref="A6:E6"/>
    <mergeCell ref="B10:H10"/>
    <mergeCell ref="A8:I8"/>
    <mergeCell ref="D7:G7"/>
    <mergeCell ref="G15:H15"/>
    <mergeCell ref="B22:H22"/>
    <mergeCell ref="A43:D43"/>
    <mergeCell ref="G43:H43"/>
    <mergeCell ref="A44:D44"/>
    <mergeCell ref="B45:H45"/>
    <mergeCell ref="G44:H44"/>
    <mergeCell ref="G36:H36"/>
    <mergeCell ref="B16:H16"/>
    <mergeCell ref="B170:H170"/>
    <mergeCell ref="A181:D181"/>
    <mergeCell ref="G181:H181"/>
    <mergeCell ref="A185:D185"/>
    <mergeCell ref="G185:H185"/>
    <mergeCell ref="B229:H229"/>
    <mergeCell ref="A236:D236"/>
    <mergeCell ref="G236:H236"/>
    <mergeCell ref="B237:H237"/>
    <mergeCell ref="A266:I266"/>
    <mergeCell ref="A268:I268"/>
    <mergeCell ref="A267:I267"/>
    <mergeCell ref="A263:I263"/>
    <mergeCell ref="A264:I264"/>
    <mergeCell ref="A265:I265"/>
    <mergeCell ref="A224:D224"/>
    <mergeCell ref="G224:H224"/>
    <mergeCell ref="A186:D186"/>
    <mergeCell ref="B187:H187"/>
    <mergeCell ref="A190:D190"/>
    <mergeCell ref="G190:H190"/>
    <mergeCell ref="G186:H186"/>
    <mergeCell ref="B191:H191"/>
    <mergeCell ref="B213:H213"/>
    <mergeCell ref="A211:D211"/>
    <mergeCell ref="G211:H211"/>
    <mergeCell ref="A212:D212"/>
    <mergeCell ref="A262:I262"/>
    <mergeCell ref="B241:H241"/>
    <mergeCell ref="A259:H259"/>
    <mergeCell ref="A260:I261"/>
    <mergeCell ref="A258:D258"/>
    <mergeCell ref="G258:H258"/>
  </mergeCells>
  <phoneticPr fontId="22" type="noConversion"/>
  <printOptions horizontalCentered="1"/>
  <pageMargins left="0.51181102362204722" right="0.51181102362204722" top="0.78740157480314965" bottom="0.78740157480314965"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view="pageBreakPreview" topLeftCell="A12" zoomScale="40" zoomScaleNormal="85" zoomScaleSheetLayoutView="40" workbookViewId="0">
      <selection activeCell="C1" sqref="A1:K52"/>
    </sheetView>
  </sheetViews>
  <sheetFormatPr defaultRowHeight="24.75" customHeight="1"/>
  <cols>
    <col min="1" max="1" width="11" style="10" customWidth="1"/>
    <col min="2" max="11" width="47.85546875" style="10" customWidth="1"/>
    <col min="12" max="12" width="9.140625" style="10"/>
    <col min="13" max="13" width="31.42578125" style="10" customWidth="1"/>
    <col min="14" max="259" width="9.140625" style="10"/>
    <col min="260" max="260" width="30.7109375" style="10" customWidth="1"/>
    <col min="261" max="267" width="20.7109375" style="10" customWidth="1"/>
    <col min="268" max="515" width="9.140625" style="10"/>
    <col min="516" max="516" width="30.7109375" style="10" customWidth="1"/>
    <col min="517" max="523" width="20.7109375" style="10" customWidth="1"/>
    <col min="524" max="771" width="9.140625" style="10"/>
    <col min="772" max="772" width="30.7109375" style="10" customWidth="1"/>
    <col min="773" max="779" width="20.7109375" style="10" customWidth="1"/>
    <col min="780" max="1027" width="9.140625" style="10"/>
    <col min="1028" max="1028" width="30.7109375" style="10" customWidth="1"/>
    <col min="1029" max="1035" width="20.7109375" style="10" customWidth="1"/>
    <col min="1036" max="1283" width="9.140625" style="10"/>
    <col min="1284" max="1284" width="30.7109375" style="10" customWidth="1"/>
    <col min="1285" max="1291" width="20.7109375" style="10" customWidth="1"/>
    <col min="1292" max="1539" width="9.140625" style="10"/>
    <col min="1540" max="1540" width="30.7109375" style="10" customWidth="1"/>
    <col min="1541" max="1547" width="20.7109375" style="10" customWidth="1"/>
    <col min="1548" max="1795" width="9.140625" style="10"/>
    <col min="1796" max="1796" width="30.7109375" style="10" customWidth="1"/>
    <col min="1797" max="1803" width="20.7109375" style="10" customWidth="1"/>
    <col min="1804" max="2051" width="9.140625" style="10"/>
    <col min="2052" max="2052" width="30.7109375" style="10" customWidth="1"/>
    <col min="2053" max="2059" width="20.7109375" style="10" customWidth="1"/>
    <col min="2060" max="2307" width="9.140625" style="10"/>
    <col min="2308" max="2308" width="30.7109375" style="10" customWidth="1"/>
    <col min="2309" max="2315" width="20.7109375" style="10" customWidth="1"/>
    <col min="2316" max="2563" width="9.140625" style="10"/>
    <col min="2564" max="2564" width="30.7109375" style="10" customWidth="1"/>
    <col min="2565" max="2571" width="20.7109375" style="10" customWidth="1"/>
    <col min="2572" max="2819" width="9.140625" style="10"/>
    <col min="2820" max="2820" width="30.7109375" style="10" customWidth="1"/>
    <col min="2821" max="2827" width="20.7109375" style="10" customWidth="1"/>
    <col min="2828" max="3075" width="9.140625" style="10"/>
    <col min="3076" max="3076" width="30.7109375" style="10" customWidth="1"/>
    <col min="3077" max="3083" width="20.7109375" style="10" customWidth="1"/>
    <col min="3084" max="3331" width="9.140625" style="10"/>
    <col min="3332" max="3332" width="30.7109375" style="10" customWidth="1"/>
    <col min="3333" max="3339" width="20.7109375" style="10" customWidth="1"/>
    <col min="3340" max="3587" width="9.140625" style="10"/>
    <col min="3588" max="3588" width="30.7109375" style="10" customWidth="1"/>
    <col min="3589" max="3595" width="20.7109375" style="10" customWidth="1"/>
    <col min="3596" max="3843" width="9.140625" style="10"/>
    <col min="3844" max="3844" width="30.7109375" style="10" customWidth="1"/>
    <col min="3845" max="3851" width="20.7109375" style="10" customWidth="1"/>
    <col min="3852" max="4099" width="9.140625" style="10"/>
    <col min="4100" max="4100" width="30.7109375" style="10" customWidth="1"/>
    <col min="4101" max="4107" width="20.7109375" style="10" customWidth="1"/>
    <col min="4108" max="4355" width="9.140625" style="10"/>
    <col min="4356" max="4356" width="30.7109375" style="10" customWidth="1"/>
    <col min="4357" max="4363" width="20.7109375" style="10" customWidth="1"/>
    <col min="4364" max="4611" width="9.140625" style="10"/>
    <col min="4612" max="4612" width="30.7109375" style="10" customWidth="1"/>
    <col min="4613" max="4619" width="20.7109375" style="10" customWidth="1"/>
    <col min="4620" max="4867" width="9.140625" style="10"/>
    <col min="4868" max="4868" width="30.7109375" style="10" customWidth="1"/>
    <col min="4869" max="4875" width="20.7109375" style="10" customWidth="1"/>
    <col min="4876" max="5123" width="9.140625" style="10"/>
    <col min="5124" max="5124" width="30.7109375" style="10" customWidth="1"/>
    <col min="5125" max="5131" width="20.7109375" style="10" customWidth="1"/>
    <col min="5132" max="5379" width="9.140625" style="10"/>
    <col min="5380" max="5380" width="30.7109375" style="10" customWidth="1"/>
    <col min="5381" max="5387" width="20.7109375" style="10" customWidth="1"/>
    <col min="5388" max="5635" width="9.140625" style="10"/>
    <col min="5636" max="5636" width="30.7109375" style="10" customWidth="1"/>
    <col min="5637" max="5643" width="20.7109375" style="10" customWidth="1"/>
    <col min="5644" max="5891" width="9.140625" style="10"/>
    <col min="5892" max="5892" width="30.7109375" style="10" customWidth="1"/>
    <col min="5893" max="5899" width="20.7109375" style="10" customWidth="1"/>
    <col min="5900" max="6147" width="9.140625" style="10"/>
    <col min="6148" max="6148" width="30.7109375" style="10" customWidth="1"/>
    <col min="6149" max="6155" width="20.7109375" style="10" customWidth="1"/>
    <col min="6156" max="6403" width="9.140625" style="10"/>
    <col min="6404" max="6404" width="30.7109375" style="10" customWidth="1"/>
    <col min="6405" max="6411" width="20.7109375" style="10" customWidth="1"/>
    <col min="6412" max="6659" width="9.140625" style="10"/>
    <col min="6660" max="6660" width="30.7109375" style="10" customWidth="1"/>
    <col min="6661" max="6667" width="20.7109375" style="10" customWidth="1"/>
    <col min="6668" max="6915" width="9.140625" style="10"/>
    <col min="6916" max="6916" width="30.7109375" style="10" customWidth="1"/>
    <col min="6917" max="6923" width="20.7109375" style="10" customWidth="1"/>
    <col min="6924" max="7171" width="9.140625" style="10"/>
    <col min="7172" max="7172" width="30.7109375" style="10" customWidth="1"/>
    <col min="7173" max="7179" width="20.7109375" style="10" customWidth="1"/>
    <col min="7180" max="7427" width="9.140625" style="10"/>
    <col min="7428" max="7428" width="30.7109375" style="10" customWidth="1"/>
    <col min="7429" max="7435" width="20.7109375" style="10" customWidth="1"/>
    <col min="7436" max="7683" width="9.140625" style="10"/>
    <col min="7684" max="7684" width="30.7109375" style="10" customWidth="1"/>
    <col min="7685" max="7691" width="20.7109375" style="10" customWidth="1"/>
    <col min="7692" max="7939" width="9.140625" style="10"/>
    <col min="7940" max="7940" width="30.7109375" style="10" customWidth="1"/>
    <col min="7941" max="7947" width="20.7109375" style="10" customWidth="1"/>
    <col min="7948" max="8195" width="9.140625" style="10"/>
    <col min="8196" max="8196" width="30.7109375" style="10" customWidth="1"/>
    <col min="8197" max="8203" width="20.7109375" style="10" customWidth="1"/>
    <col min="8204" max="8451" width="9.140625" style="10"/>
    <col min="8452" max="8452" width="30.7109375" style="10" customWidth="1"/>
    <col min="8453" max="8459" width="20.7109375" style="10" customWidth="1"/>
    <col min="8460" max="8707" width="9.140625" style="10"/>
    <col min="8708" max="8708" width="30.7109375" style="10" customWidth="1"/>
    <col min="8709" max="8715" width="20.7109375" style="10" customWidth="1"/>
    <col min="8716" max="8963" width="9.140625" style="10"/>
    <col min="8964" max="8964" width="30.7109375" style="10" customWidth="1"/>
    <col min="8965" max="8971" width="20.7109375" style="10" customWidth="1"/>
    <col min="8972" max="9219" width="9.140625" style="10"/>
    <col min="9220" max="9220" width="30.7109375" style="10" customWidth="1"/>
    <col min="9221" max="9227" width="20.7109375" style="10" customWidth="1"/>
    <col min="9228" max="9475" width="9.140625" style="10"/>
    <col min="9476" max="9476" width="30.7109375" style="10" customWidth="1"/>
    <col min="9477" max="9483" width="20.7109375" style="10" customWidth="1"/>
    <col min="9484" max="9731" width="9.140625" style="10"/>
    <col min="9732" max="9732" width="30.7109375" style="10" customWidth="1"/>
    <col min="9733" max="9739" width="20.7109375" style="10" customWidth="1"/>
    <col min="9740" max="9987" width="9.140625" style="10"/>
    <col min="9988" max="9988" width="30.7109375" style="10" customWidth="1"/>
    <col min="9989" max="9995" width="20.7109375" style="10" customWidth="1"/>
    <col min="9996" max="10243" width="9.140625" style="10"/>
    <col min="10244" max="10244" width="30.7109375" style="10" customWidth="1"/>
    <col min="10245" max="10251" width="20.7109375" style="10" customWidth="1"/>
    <col min="10252" max="10499" width="9.140625" style="10"/>
    <col min="10500" max="10500" width="30.7109375" style="10" customWidth="1"/>
    <col min="10501" max="10507" width="20.7109375" style="10" customWidth="1"/>
    <col min="10508" max="10755" width="9.140625" style="10"/>
    <col min="10756" max="10756" width="30.7109375" style="10" customWidth="1"/>
    <col min="10757" max="10763" width="20.7109375" style="10" customWidth="1"/>
    <col min="10764" max="11011" width="9.140625" style="10"/>
    <col min="11012" max="11012" width="30.7109375" style="10" customWidth="1"/>
    <col min="11013" max="11019" width="20.7109375" style="10" customWidth="1"/>
    <col min="11020" max="11267" width="9.140625" style="10"/>
    <col min="11268" max="11268" width="30.7109375" style="10" customWidth="1"/>
    <col min="11269" max="11275" width="20.7109375" style="10" customWidth="1"/>
    <col min="11276" max="11523" width="9.140625" style="10"/>
    <col min="11524" max="11524" width="30.7109375" style="10" customWidth="1"/>
    <col min="11525" max="11531" width="20.7109375" style="10" customWidth="1"/>
    <col min="11532" max="11779" width="9.140625" style="10"/>
    <col min="11780" max="11780" width="30.7109375" style="10" customWidth="1"/>
    <col min="11781" max="11787" width="20.7109375" style="10" customWidth="1"/>
    <col min="11788" max="12035" width="9.140625" style="10"/>
    <col min="12036" max="12036" width="30.7109375" style="10" customWidth="1"/>
    <col min="12037" max="12043" width="20.7109375" style="10" customWidth="1"/>
    <col min="12044" max="12291" width="9.140625" style="10"/>
    <col min="12292" max="12292" width="30.7109375" style="10" customWidth="1"/>
    <col min="12293" max="12299" width="20.7109375" style="10" customWidth="1"/>
    <col min="12300" max="12547" width="9.140625" style="10"/>
    <col min="12548" max="12548" width="30.7109375" style="10" customWidth="1"/>
    <col min="12549" max="12555" width="20.7109375" style="10" customWidth="1"/>
    <col min="12556" max="12803" width="9.140625" style="10"/>
    <col min="12804" max="12804" width="30.7109375" style="10" customWidth="1"/>
    <col min="12805" max="12811" width="20.7109375" style="10" customWidth="1"/>
    <col min="12812" max="13059" width="9.140625" style="10"/>
    <col min="13060" max="13060" width="30.7109375" style="10" customWidth="1"/>
    <col min="13061" max="13067" width="20.7109375" style="10" customWidth="1"/>
    <col min="13068" max="13315" width="9.140625" style="10"/>
    <col min="13316" max="13316" width="30.7109375" style="10" customWidth="1"/>
    <col min="13317" max="13323" width="20.7109375" style="10" customWidth="1"/>
    <col min="13324" max="13571" width="9.140625" style="10"/>
    <col min="13572" max="13572" width="30.7109375" style="10" customWidth="1"/>
    <col min="13573" max="13579" width="20.7109375" style="10" customWidth="1"/>
    <col min="13580" max="13827" width="9.140625" style="10"/>
    <col min="13828" max="13828" width="30.7109375" style="10" customWidth="1"/>
    <col min="13829" max="13835" width="20.7109375" style="10" customWidth="1"/>
    <col min="13836" max="14083" width="9.140625" style="10"/>
    <col min="14084" max="14084" width="30.7109375" style="10" customWidth="1"/>
    <col min="14085" max="14091" width="20.7109375" style="10" customWidth="1"/>
    <col min="14092" max="14339" width="9.140625" style="10"/>
    <col min="14340" max="14340" width="30.7109375" style="10" customWidth="1"/>
    <col min="14341" max="14347" width="20.7109375" style="10" customWidth="1"/>
    <col min="14348" max="14595" width="9.140625" style="10"/>
    <col min="14596" max="14596" width="30.7109375" style="10" customWidth="1"/>
    <col min="14597" max="14603" width="20.7109375" style="10" customWidth="1"/>
    <col min="14604" max="14851" width="9.140625" style="10"/>
    <col min="14852" max="14852" width="30.7109375" style="10" customWidth="1"/>
    <col min="14853" max="14859" width="20.7109375" style="10" customWidth="1"/>
    <col min="14860" max="15107" width="9.140625" style="10"/>
    <col min="15108" max="15108" width="30.7109375" style="10" customWidth="1"/>
    <col min="15109" max="15115" width="20.7109375" style="10" customWidth="1"/>
    <col min="15116" max="15363" width="9.140625" style="10"/>
    <col min="15364" max="15364" width="30.7109375" style="10" customWidth="1"/>
    <col min="15365" max="15371" width="20.7109375" style="10" customWidth="1"/>
    <col min="15372" max="15619" width="9.140625" style="10"/>
    <col min="15620" max="15620" width="30.7109375" style="10" customWidth="1"/>
    <col min="15621" max="15627" width="20.7109375" style="10" customWidth="1"/>
    <col min="15628" max="15875" width="9.140625" style="10"/>
    <col min="15876" max="15876" width="30.7109375" style="10" customWidth="1"/>
    <col min="15877" max="15883" width="20.7109375" style="10" customWidth="1"/>
    <col min="15884" max="16131" width="9.140625" style="10"/>
    <col min="16132" max="16132" width="30.7109375" style="10" customWidth="1"/>
    <col min="16133" max="16139" width="20.7109375" style="10" customWidth="1"/>
    <col min="16140" max="16384" width="9.140625" style="10"/>
  </cols>
  <sheetData>
    <row r="1" spans="1:13" ht="126.75" customHeight="1">
      <c r="A1" s="324"/>
      <c r="B1" s="324"/>
      <c r="C1" s="329"/>
      <c r="D1" s="329"/>
      <c r="E1" s="329"/>
      <c r="F1" s="329"/>
      <c r="G1" s="329"/>
      <c r="H1" s="329"/>
      <c r="I1" s="329"/>
      <c r="J1" s="329"/>
      <c r="K1" s="329"/>
      <c r="L1" s="35"/>
    </row>
    <row r="2" spans="1:13" s="49" customFormat="1" ht="35.1" customHeight="1">
      <c r="A2" s="325" t="s">
        <v>8</v>
      </c>
      <c r="B2" s="326"/>
      <c r="C2" s="326"/>
      <c r="D2" s="326"/>
      <c r="E2" s="326"/>
      <c r="F2" s="326"/>
      <c r="G2" s="326"/>
      <c r="H2" s="326"/>
      <c r="I2" s="326"/>
      <c r="J2" s="326"/>
      <c r="K2" s="327"/>
      <c r="L2" s="48"/>
    </row>
    <row r="3" spans="1:13" s="49" customFormat="1" ht="35.1" customHeight="1">
      <c r="A3" s="330" t="str">
        <f>ORÇAMENTO!A3</f>
        <v>OBRA: PROJETO DE REFORMA E AMPLIAÇÃO DO NOVO PRONTO ATENDIMENTO DO MUNICÍPIO DE OURO FINO</v>
      </c>
      <c r="B3" s="331"/>
      <c r="C3" s="331"/>
      <c r="D3" s="331"/>
      <c r="E3" s="331"/>
      <c r="F3" s="331"/>
      <c r="G3" s="331"/>
      <c r="H3" s="331"/>
      <c r="I3" s="331"/>
      <c r="J3" s="182" t="s">
        <v>364</v>
      </c>
      <c r="K3" s="181">
        <f>ORÇAMENTO!I3</f>
        <v>46003</v>
      </c>
    </row>
    <row r="4" spans="1:13" s="49" customFormat="1" ht="35.1" customHeight="1">
      <c r="A4" s="328" t="str">
        <f>ORÇAMENTO!A4</f>
        <v>LOCAL: RUA 13 MAIO, CENTRO, OURO FINO - MG</v>
      </c>
      <c r="B4" s="328"/>
      <c r="C4" s="328"/>
      <c r="D4" s="328"/>
      <c r="E4" s="328"/>
      <c r="F4" s="328"/>
      <c r="G4" s="328"/>
      <c r="H4" s="328"/>
      <c r="I4" s="328"/>
      <c r="J4" s="328"/>
      <c r="K4" s="328"/>
      <c r="L4" s="48"/>
    </row>
    <row r="5" spans="1:13" s="49" customFormat="1" ht="35.1" customHeight="1">
      <c r="A5" s="328" t="str">
        <f>ORÇAMENTO!A5</f>
        <v>REGIÃO/MÊS DE REF.: SETOP SUL/JULHO 2025 S/ DESONERAÇÃO / SINAPI 09-2025 NÃO DESONERADO</v>
      </c>
      <c r="B5" s="328"/>
      <c r="C5" s="328"/>
      <c r="D5" s="328"/>
      <c r="E5" s="328"/>
      <c r="F5" s="328"/>
      <c r="G5" s="328"/>
      <c r="H5" s="328"/>
      <c r="I5" s="328"/>
      <c r="J5" s="328"/>
      <c r="K5" s="328"/>
    </row>
    <row r="6" spans="1:13" s="49" customFormat="1" ht="35.1" customHeight="1">
      <c r="A6" s="332" t="str">
        <f>ORÇAMENTO!A6</f>
        <v>PRAZO DE EXECUÇÃO: 6 MESES</v>
      </c>
      <c r="B6" s="332"/>
      <c r="C6" s="332"/>
      <c r="D6" s="332"/>
      <c r="E6" s="332"/>
      <c r="F6" s="332"/>
      <c r="G6" s="332"/>
      <c r="H6" s="332"/>
      <c r="I6" s="332"/>
      <c r="J6" s="332"/>
      <c r="K6" s="332"/>
    </row>
    <row r="7" spans="1:13" s="49" customFormat="1" ht="35.1" customHeight="1">
      <c r="A7" s="333" t="str">
        <f>ORÇAMENTO!A7</f>
        <v>VALOR ESTIMADO DA OBRA:</v>
      </c>
      <c r="B7" s="333"/>
      <c r="C7" s="322">
        <f>ORÇAMENTO!D7</f>
        <v>786872.28</v>
      </c>
      <c r="D7" s="322"/>
      <c r="E7" s="322"/>
      <c r="F7" s="322"/>
      <c r="G7" s="322"/>
      <c r="H7" s="322"/>
      <c r="I7" s="322"/>
      <c r="J7" s="322"/>
      <c r="K7" s="322"/>
      <c r="L7" s="50"/>
      <c r="M7" s="274" t="b">
        <f>IF(SUM(K47)=C7,TRUE,FALSE)</f>
        <v>1</v>
      </c>
    </row>
    <row r="8" spans="1:13" s="49" customFormat="1" ht="35.1" customHeight="1">
      <c r="A8" s="334"/>
      <c r="B8" s="334"/>
      <c r="C8" s="334"/>
      <c r="D8" s="334"/>
      <c r="E8" s="334"/>
      <c r="F8" s="334"/>
      <c r="G8" s="334"/>
      <c r="H8" s="334"/>
      <c r="I8" s="334"/>
      <c r="J8" s="334"/>
      <c r="K8" s="334"/>
      <c r="L8" s="50"/>
    </row>
    <row r="9" spans="1:13" s="49" customFormat="1" ht="61.5" customHeight="1">
      <c r="A9" s="62" t="s">
        <v>0</v>
      </c>
      <c r="B9" s="62" t="s">
        <v>18</v>
      </c>
      <c r="C9" s="62" t="s">
        <v>9</v>
      </c>
      <c r="D9" s="62" t="s">
        <v>19</v>
      </c>
      <c r="E9" s="62" t="s">
        <v>22</v>
      </c>
      <c r="F9" s="62" t="s">
        <v>23</v>
      </c>
      <c r="G9" s="62" t="s">
        <v>24</v>
      </c>
      <c r="H9" s="62" t="s">
        <v>49</v>
      </c>
      <c r="I9" s="62" t="s">
        <v>129</v>
      </c>
      <c r="J9" s="62" t="s">
        <v>135</v>
      </c>
      <c r="K9" s="62" t="s">
        <v>10</v>
      </c>
    </row>
    <row r="10" spans="1:13" s="49" customFormat="1" ht="35.1" customHeight="1">
      <c r="A10" s="323" t="str">
        <f>ORÇAMENTO!A10</f>
        <v>1.</v>
      </c>
      <c r="B10" s="323" t="str">
        <f>ORÇAMENTO!B10</f>
        <v>SERVIÇOS PRELIMINARES</v>
      </c>
      <c r="C10" s="63" t="s">
        <v>20</v>
      </c>
      <c r="D10" s="64">
        <v>1</v>
      </c>
      <c r="E10" s="64">
        <v>1</v>
      </c>
      <c r="F10" s="64"/>
      <c r="G10" s="64"/>
      <c r="H10" s="64"/>
      <c r="I10" s="64"/>
      <c r="J10" s="64"/>
      <c r="K10" s="65">
        <f t="shared" ref="K10:K37" si="0">SUM(E10:J10)</f>
        <v>1</v>
      </c>
    </row>
    <row r="11" spans="1:13" s="49" customFormat="1" ht="35.1" customHeight="1">
      <c r="A11" s="323"/>
      <c r="B11" s="323"/>
      <c r="C11" s="63" t="s">
        <v>21</v>
      </c>
      <c r="D11" s="66">
        <f>ORÇAMENTO!G15</f>
        <v>17553.61</v>
      </c>
      <c r="E11" s="67">
        <f>E10*$D$11</f>
        <v>17553.61</v>
      </c>
      <c r="F11" s="67">
        <f t="shared" ref="F11:J11" si="1">F10*$D$11</f>
        <v>0</v>
      </c>
      <c r="G11" s="67">
        <f t="shared" si="1"/>
        <v>0</v>
      </c>
      <c r="H11" s="67">
        <f t="shared" si="1"/>
        <v>0</v>
      </c>
      <c r="I11" s="67">
        <f t="shared" si="1"/>
        <v>0</v>
      </c>
      <c r="J11" s="67">
        <f t="shared" si="1"/>
        <v>0</v>
      </c>
      <c r="K11" s="68">
        <f t="shared" si="0"/>
        <v>17553.61</v>
      </c>
    </row>
    <row r="12" spans="1:13" s="49" customFormat="1" ht="35.1" customHeight="1">
      <c r="A12" s="335" t="str">
        <f>ORÇAMENTO!A16</f>
        <v>2.</v>
      </c>
      <c r="B12" s="335" t="str">
        <f>ORÇAMENTO!B16</f>
        <v>MOVIMENTAÇÃO DE TERRA</v>
      </c>
      <c r="C12" s="69" t="s">
        <v>20</v>
      </c>
      <c r="D12" s="70">
        <v>1</v>
      </c>
      <c r="E12" s="70">
        <v>0.3</v>
      </c>
      <c r="F12" s="70">
        <v>0.4</v>
      </c>
      <c r="G12" s="70">
        <v>0.3</v>
      </c>
      <c r="H12" s="70"/>
      <c r="I12" s="70"/>
      <c r="J12" s="70"/>
      <c r="K12" s="65">
        <f t="shared" si="0"/>
        <v>1</v>
      </c>
      <c r="M12" s="51"/>
    </row>
    <row r="13" spans="1:13" s="49" customFormat="1" ht="35.1" customHeight="1">
      <c r="A13" s="335"/>
      <c r="B13" s="335"/>
      <c r="C13" s="69" t="s">
        <v>21</v>
      </c>
      <c r="D13" s="71">
        <f>ORÇAMENTO!G21</f>
        <v>4939.84</v>
      </c>
      <c r="E13" s="72">
        <f t="shared" ref="E13:J13" si="2">E12*$D$13</f>
        <v>1481.952</v>
      </c>
      <c r="F13" s="72">
        <f t="shared" si="2"/>
        <v>1975.9360000000001</v>
      </c>
      <c r="G13" s="72">
        <f t="shared" si="2"/>
        <v>1481.952</v>
      </c>
      <c r="H13" s="72">
        <f t="shared" si="2"/>
        <v>0</v>
      </c>
      <c r="I13" s="72">
        <f t="shared" si="2"/>
        <v>0</v>
      </c>
      <c r="J13" s="72">
        <f t="shared" si="2"/>
        <v>0</v>
      </c>
      <c r="K13" s="68">
        <f t="shared" si="0"/>
        <v>4939.84</v>
      </c>
      <c r="M13" s="51"/>
    </row>
    <row r="14" spans="1:13" s="49" customFormat="1" ht="35.1" customHeight="1">
      <c r="A14" s="323" t="str">
        <f>ORÇAMENTO!A22</f>
        <v>3.</v>
      </c>
      <c r="B14" s="323" t="str">
        <f>ORÇAMENTO!B22</f>
        <v>INFRAESTRUTURA</v>
      </c>
      <c r="C14" s="63" t="s">
        <v>20</v>
      </c>
      <c r="D14" s="64">
        <v>1</v>
      </c>
      <c r="E14" s="64">
        <v>0.4</v>
      </c>
      <c r="F14" s="64">
        <v>0.6</v>
      </c>
      <c r="G14" s="64"/>
      <c r="H14" s="64"/>
      <c r="I14" s="64"/>
      <c r="J14" s="64"/>
      <c r="K14" s="65">
        <f t="shared" si="0"/>
        <v>1</v>
      </c>
    </row>
    <row r="15" spans="1:13" s="49" customFormat="1" ht="35.1" customHeight="1">
      <c r="A15" s="323"/>
      <c r="B15" s="323"/>
      <c r="C15" s="63" t="s">
        <v>21</v>
      </c>
      <c r="D15" s="66">
        <f>ORÇAMENTO!G44</f>
        <v>105075.95</v>
      </c>
      <c r="E15" s="67">
        <f>E14*$D$15</f>
        <v>42030.380000000005</v>
      </c>
      <c r="F15" s="67">
        <f t="shared" ref="F15:J15" si="3">F14*$D$15</f>
        <v>63045.569999999992</v>
      </c>
      <c r="G15" s="67">
        <f t="shared" si="3"/>
        <v>0</v>
      </c>
      <c r="H15" s="67">
        <f t="shared" si="3"/>
        <v>0</v>
      </c>
      <c r="I15" s="67">
        <f t="shared" si="3"/>
        <v>0</v>
      </c>
      <c r="J15" s="67">
        <f t="shared" si="3"/>
        <v>0</v>
      </c>
      <c r="K15" s="68">
        <f t="shared" si="0"/>
        <v>105075.95</v>
      </c>
      <c r="M15" s="51"/>
    </row>
    <row r="16" spans="1:13" s="49" customFormat="1" ht="35.1" customHeight="1">
      <c r="A16" s="335" t="str">
        <f>ORÇAMENTO!A45</f>
        <v>4.</v>
      </c>
      <c r="B16" s="335" t="str">
        <f>ORÇAMENTO!B45</f>
        <v>SUPERESTRUTURA</v>
      </c>
      <c r="C16" s="69" t="s">
        <v>20</v>
      </c>
      <c r="D16" s="70">
        <v>1</v>
      </c>
      <c r="E16" s="70">
        <v>0.4</v>
      </c>
      <c r="F16" s="70">
        <v>0.3</v>
      </c>
      <c r="G16" s="70">
        <v>0.3</v>
      </c>
      <c r="H16" s="70"/>
      <c r="I16" s="70"/>
      <c r="J16" s="70"/>
      <c r="K16" s="65">
        <f t="shared" si="0"/>
        <v>1</v>
      </c>
      <c r="M16" s="51"/>
    </row>
    <row r="17" spans="1:13" s="49" customFormat="1" ht="35.1" customHeight="1">
      <c r="A17" s="335"/>
      <c r="B17" s="335"/>
      <c r="C17" s="69" t="s">
        <v>21</v>
      </c>
      <c r="D17" s="71">
        <f>ORÇAMENTO!G65</f>
        <v>149948.07</v>
      </c>
      <c r="E17" s="72">
        <f t="shared" ref="E17:J17" si="4">E16*$D$17</f>
        <v>59979.228000000003</v>
      </c>
      <c r="F17" s="72">
        <f t="shared" si="4"/>
        <v>44984.421000000002</v>
      </c>
      <c r="G17" s="72">
        <f t="shared" si="4"/>
        <v>44984.421000000002</v>
      </c>
      <c r="H17" s="72">
        <f t="shared" si="4"/>
        <v>0</v>
      </c>
      <c r="I17" s="72">
        <f t="shared" si="4"/>
        <v>0</v>
      </c>
      <c r="J17" s="72">
        <f t="shared" si="4"/>
        <v>0</v>
      </c>
      <c r="K17" s="68">
        <f t="shared" si="0"/>
        <v>149948.07</v>
      </c>
      <c r="M17" s="51"/>
    </row>
    <row r="18" spans="1:13" s="49" customFormat="1" ht="35.1" customHeight="1">
      <c r="A18" s="323" t="str">
        <f>ORÇAMENTO!A66</f>
        <v>5.</v>
      </c>
      <c r="B18" s="323" t="str">
        <f>ORÇAMENTO!B66</f>
        <v>ALVENARIA / DIVISORIAS E BANCADAS</v>
      </c>
      <c r="C18" s="63" t="s">
        <v>20</v>
      </c>
      <c r="D18" s="64">
        <v>1</v>
      </c>
      <c r="E18" s="64">
        <v>0.05</v>
      </c>
      <c r="F18" s="64">
        <v>0.1</v>
      </c>
      <c r="G18" s="64">
        <v>0.45</v>
      </c>
      <c r="H18" s="64">
        <v>0.4</v>
      </c>
      <c r="I18" s="64"/>
      <c r="J18" s="64"/>
      <c r="K18" s="65">
        <f t="shared" si="0"/>
        <v>1</v>
      </c>
    </row>
    <row r="19" spans="1:13" s="49" customFormat="1" ht="35.1" customHeight="1">
      <c r="A19" s="323"/>
      <c r="B19" s="323"/>
      <c r="C19" s="63" t="s">
        <v>21</v>
      </c>
      <c r="D19" s="66">
        <f>ORÇAMENTO!G73</f>
        <v>39948.239999999998</v>
      </c>
      <c r="E19" s="67">
        <f>E18*$D$19</f>
        <v>1997.412</v>
      </c>
      <c r="F19" s="67">
        <f t="shared" ref="F19:J19" si="5">F18*$D$19</f>
        <v>3994.8240000000001</v>
      </c>
      <c r="G19" s="67">
        <f t="shared" si="5"/>
        <v>17976.707999999999</v>
      </c>
      <c r="H19" s="67">
        <f t="shared" si="5"/>
        <v>15979.296</v>
      </c>
      <c r="I19" s="67">
        <f t="shared" si="5"/>
        <v>0</v>
      </c>
      <c r="J19" s="67">
        <f t="shared" si="5"/>
        <v>0</v>
      </c>
      <c r="K19" s="68">
        <f t="shared" si="0"/>
        <v>39948.239999999998</v>
      </c>
      <c r="M19" s="51"/>
    </row>
    <row r="20" spans="1:13" s="49" customFormat="1" ht="35.1" customHeight="1">
      <c r="A20" s="335" t="str">
        <f>ORÇAMENTO!A74</f>
        <v>6.</v>
      </c>
      <c r="B20" s="335" t="str">
        <f>ORÇAMENTO!B74</f>
        <v xml:space="preserve">ESQUADRIAS </v>
      </c>
      <c r="C20" s="69" t="s">
        <v>20</v>
      </c>
      <c r="D20" s="70">
        <v>1</v>
      </c>
      <c r="E20" s="70"/>
      <c r="F20" s="70"/>
      <c r="G20" s="70">
        <v>0.25</v>
      </c>
      <c r="H20" s="70">
        <v>0.5</v>
      </c>
      <c r="I20" s="70">
        <v>0.25</v>
      </c>
      <c r="J20" s="70"/>
      <c r="K20" s="65">
        <f t="shared" si="0"/>
        <v>1</v>
      </c>
      <c r="M20" s="51"/>
    </row>
    <row r="21" spans="1:13" s="49" customFormat="1" ht="35.1" customHeight="1">
      <c r="A21" s="335"/>
      <c r="B21" s="335"/>
      <c r="C21" s="69" t="s">
        <v>21</v>
      </c>
      <c r="D21" s="71">
        <f>ORÇAMENTO!G86</f>
        <v>41046.800000000003</v>
      </c>
      <c r="E21" s="72">
        <f>E20*$D$21</f>
        <v>0</v>
      </c>
      <c r="F21" s="72">
        <f t="shared" ref="F21:J21" si="6">F20*$D$21</f>
        <v>0</v>
      </c>
      <c r="G21" s="72">
        <f t="shared" si="6"/>
        <v>10261.700000000001</v>
      </c>
      <c r="H21" s="72">
        <f t="shared" si="6"/>
        <v>20523.400000000001</v>
      </c>
      <c r="I21" s="72">
        <f t="shared" si="6"/>
        <v>10261.700000000001</v>
      </c>
      <c r="J21" s="72">
        <f t="shared" si="6"/>
        <v>0</v>
      </c>
      <c r="K21" s="68">
        <f t="shared" si="0"/>
        <v>41046.800000000003</v>
      </c>
      <c r="M21" s="51"/>
    </row>
    <row r="22" spans="1:13" s="49" customFormat="1" ht="35.1" customHeight="1">
      <c r="A22" s="323" t="str">
        <f>ORÇAMENTO!A87</f>
        <v>7.</v>
      </c>
      <c r="B22" s="323" t="str">
        <f>ORÇAMENTO!B87</f>
        <v>COBERTURA</v>
      </c>
      <c r="C22" s="63" t="s">
        <v>20</v>
      </c>
      <c r="D22" s="64">
        <v>1</v>
      </c>
      <c r="E22" s="64"/>
      <c r="F22" s="64"/>
      <c r="G22" s="64"/>
      <c r="H22" s="64">
        <v>0.15</v>
      </c>
      <c r="I22" s="64">
        <v>0.35</v>
      </c>
      <c r="J22" s="64">
        <v>0.5</v>
      </c>
      <c r="K22" s="65">
        <f t="shared" si="0"/>
        <v>1</v>
      </c>
      <c r="M22" s="51"/>
    </row>
    <row r="23" spans="1:13" s="49" customFormat="1" ht="35.1" customHeight="1">
      <c r="A23" s="323"/>
      <c r="B23" s="323"/>
      <c r="C23" s="63" t="s">
        <v>21</v>
      </c>
      <c r="D23" s="66">
        <f>ORÇAMENTO!G94</f>
        <v>45450.69</v>
      </c>
      <c r="E23" s="67">
        <f>E22*$D$23</f>
        <v>0</v>
      </c>
      <c r="F23" s="67">
        <f t="shared" ref="F23:J23" si="7">F22*$D$23</f>
        <v>0</v>
      </c>
      <c r="G23" s="67">
        <f t="shared" si="7"/>
        <v>0</v>
      </c>
      <c r="H23" s="67">
        <f t="shared" si="7"/>
        <v>6817.6035000000002</v>
      </c>
      <c r="I23" s="67">
        <f t="shared" si="7"/>
        <v>15907.7415</v>
      </c>
      <c r="J23" s="67">
        <f t="shared" si="7"/>
        <v>22725.345000000001</v>
      </c>
      <c r="K23" s="68">
        <f t="shared" si="0"/>
        <v>45450.69</v>
      </c>
      <c r="M23" s="51"/>
    </row>
    <row r="24" spans="1:13" s="49" customFormat="1" ht="35.1" customHeight="1">
      <c r="A24" s="335" t="str">
        <f>ORÇAMENTO!A95</f>
        <v>8.</v>
      </c>
      <c r="B24" s="335" t="str">
        <f>ORÇAMENTO!B95</f>
        <v>INSTALAÇÃO ELÉTRICA</v>
      </c>
      <c r="C24" s="69" t="s">
        <v>20</v>
      </c>
      <c r="D24" s="70">
        <v>1</v>
      </c>
      <c r="E24" s="70">
        <v>0.05</v>
      </c>
      <c r="F24" s="70"/>
      <c r="G24" s="70">
        <v>0.3</v>
      </c>
      <c r="H24" s="70">
        <v>0.4</v>
      </c>
      <c r="I24" s="70">
        <v>0.1</v>
      </c>
      <c r="J24" s="70">
        <v>0.15</v>
      </c>
      <c r="K24" s="65">
        <f t="shared" si="0"/>
        <v>1</v>
      </c>
      <c r="M24" s="51"/>
    </row>
    <row r="25" spans="1:13" s="49" customFormat="1" ht="35.1" customHeight="1">
      <c r="A25" s="335"/>
      <c r="B25" s="335"/>
      <c r="C25" s="69" t="s">
        <v>21</v>
      </c>
      <c r="D25" s="71">
        <f>ORÇAMENTO!G128</f>
        <v>18350.939999999999</v>
      </c>
      <c r="E25" s="72">
        <f>E24*$D$25</f>
        <v>917.54700000000003</v>
      </c>
      <c r="F25" s="72">
        <f t="shared" ref="F25:J25" si="8">F24*$D$25</f>
        <v>0</v>
      </c>
      <c r="G25" s="72">
        <f t="shared" si="8"/>
        <v>5505.2819999999992</v>
      </c>
      <c r="H25" s="72">
        <f t="shared" si="8"/>
        <v>7340.3760000000002</v>
      </c>
      <c r="I25" s="72">
        <f t="shared" si="8"/>
        <v>1835.0940000000001</v>
      </c>
      <c r="J25" s="72">
        <f t="shared" si="8"/>
        <v>2752.6409999999996</v>
      </c>
      <c r="K25" s="68">
        <f t="shared" si="0"/>
        <v>18350.939999999999</v>
      </c>
      <c r="M25" s="51"/>
    </row>
    <row r="26" spans="1:13" s="49" customFormat="1" ht="35.1" customHeight="1">
      <c r="A26" s="323" t="str">
        <f>ORÇAMENTO!A129</f>
        <v>9.</v>
      </c>
      <c r="B26" s="323" t="str">
        <f>ORÇAMENTO!B129</f>
        <v>INSTALAÇÃO HIDROSSANITÁRIA</v>
      </c>
      <c r="C26" s="63" t="s">
        <v>20</v>
      </c>
      <c r="D26" s="64">
        <v>1</v>
      </c>
      <c r="E26" s="64">
        <v>0.1</v>
      </c>
      <c r="F26" s="64"/>
      <c r="G26" s="64">
        <v>0.3</v>
      </c>
      <c r="H26" s="64">
        <v>0.35</v>
      </c>
      <c r="I26" s="64">
        <v>0.15</v>
      </c>
      <c r="J26" s="64">
        <v>0.1</v>
      </c>
      <c r="K26" s="65">
        <f t="shared" si="0"/>
        <v>1</v>
      </c>
      <c r="M26" s="51"/>
    </row>
    <row r="27" spans="1:13" s="49" customFormat="1" ht="35.1" customHeight="1">
      <c r="A27" s="323"/>
      <c r="B27" s="323"/>
      <c r="C27" s="63" t="s">
        <v>21</v>
      </c>
      <c r="D27" s="66">
        <f>ORÇAMENTO!G166</f>
        <v>19464.900000000001</v>
      </c>
      <c r="E27" s="67">
        <f>E26*$D$27</f>
        <v>1946.4900000000002</v>
      </c>
      <c r="F27" s="67">
        <f t="shared" ref="F27:J27" si="9">F26*$D$27</f>
        <v>0</v>
      </c>
      <c r="G27" s="67">
        <f t="shared" si="9"/>
        <v>5839.47</v>
      </c>
      <c r="H27" s="67">
        <f t="shared" si="9"/>
        <v>6812.7150000000001</v>
      </c>
      <c r="I27" s="67">
        <f t="shared" si="9"/>
        <v>2919.7350000000001</v>
      </c>
      <c r="J27" s="67">
        <f t="shared" si="9"/>
        <v>1946.4900000000002</v>
      </c>
      <c r="K27" s="68">
        <f t="shared" si="0"/>
        <v>19464.900000000001</v>
      </c>
      <c r="M27" s="51"/>
    </row>
    <row r="28" spans="1:13" s="49" customFormat="1" ht="35.1" customHeight="1">
      <c r="A28" s="335" t="str">
        <f>ORÇAMENTO!A167</f>
        <v>10.</v>
      </c>
      <c r="B28" s="335" t="str">
        <f>ORÇAMENTO!B167</f>
        <v>IMPERMEABILIZAÇÕES</v>
      </c>
      <c r="C28" s="69" t="s">
        <v>20</v>
      </c>
      <c r="D28" s="70">
        <v>1</v>
      </c>
      <c r="E28" s="70"/>
      <c r="F28" s="70"/>
      <c r="G28" s="70">
        <v>0.6</v>
      </c>
      <c r="H28" s="70">
        <v>0.4</v>
      </c>
      <c r="I28" s="70"/>
      <c r="J28" s="70"/>
      <c r="K28" s="65">
        <f t="shared" si="0"/>
        <v>1</v>
      </c>
      <c r="M28" s="51"/>
    </row>
    <row r="29" spans="1:13" s="49" customFormat="1" ht="35.1" customHeight="1">
      <c r="A29" s="335"/>
      <c r="B29" s="335"/>
      <c r="C29" s="69" t="s">
        <v>21</v>
      </c>
      <c r="D29" s="71">
        <f>ORÇAMENTO!G169</f>
        <v>4269.29</v>
      </c>
      <c r="E29" s="72">
        <f>E28*$D$29</f>
        <v>0</v>
      </c>
      <c r="F29" s="72">
        <f t="shared" ref="F29:J29" si="10">F28*$D$29</f>
        <v>0</v>
      </c>
      <c r="G29" s="72">
        <f t="shared" si="10"/>
        <v>2561.5740000000001</v>
      </c>
      <c r="H29" s="72">
        <f t="shared" si="10"/>
        <v>1707.7160000000001</v>
      </c>
      <c r="I29" s="72">
        <f t="shared" si="10"/>
        <v>0</v>
      </c>
      <c r="J29" s="72">
        <f t="shared" si="10"/>
        <v>0</v>
      </c>
      <c r="K29" s="68">
        <f t="shared" si="0"/>
        <v>4269.29</v>
      </c>
      <c r="M29" s="51"/>
    </row>
    <row r="30" spans="1:13" s="49" customFormat="1" ht="35.1" customHeight="1">
      <c r="A30" s="323" t="str">
        <f>ORÇAMENTO!A170</f>
        <v>11.</v>
      </c>
      <c r="B30" s="323" t="str">
        <f>ORÇAMENTO!B170</f>
        <v>REVESTIMENTOS INTERNO E EXTERNO</v>
      </c>
      <c r="C30" s="63" t="s">
        <v>20</v>
      </c>
      <c r="D30" s="64">
        <v>1</v>
      </c>
      <c r="E30" s="64">
        <v>0.05</v>
      </c>
      <c r="F30" s="64"/>
      <c r="G30" s="64">
        <v>0.3</v>
      </c>
      <c r="H30" s="64">
        <v>0.35</v>
      </c>
      <c r="I30" s="64">
        <v>0.3</v>
      </c>
      <c r="J30" s="64"/>
      <c r="K30" s="65">
        <f t="shared" si="0"/>
        <v>1</v>
      </c>
      <c r="M30" s="51"/>
    </row>
    <row r="31" spans="1:13" s="49" customFormat="1" ht="35.1" customHeight="1">
      <c r="A31" s="323"/>
      <c r="B31" s="323"/>
      <c r="C31" s="63" t="s">
        <v>21</v>
      </c>
      <c r="D31" s="66">
        <f>ORÇAMENTO!G186</f>
        <v>102202.34</v>
      </c>
      <c r="E31" s="67">
        <f>E30*$D$31</f>
        <v>5110.1170000000002</v>
      </c>
      <c r="F31" s="67">
        <f t="shared" ref="F31:J31" si="11">F30*$D$31</f>
        <v>0</v>
      </c>
      <c r="G31" s="67">
        <f t="shared" si="11"/>
        <v>30660.701999999997</v>
      </c>
      <c r="H31" s="67">
        <f t="shared" si="11"/>
        <v>35770.818999999996</v>
      </c>
      <c r="I31" s="67">
        <f t="shared" si="11"/>
        <v>30660.701999999997</v>
      </c>
      <c r="J31" s="67">
        <f t="shared" si="11"/>
        <v>0</v>
      </c>
      <c r="K31" s="68">
        <f t="shared" si="0"/>
        <v>102202.34</v>
      </c>
      <c r="M31" s="51"/>
    </row>
    <row r="32" spans="1:13" s="49" customFormat="1" ht="35.1" customHeight="1">
      <c r="A32" s="335" t="str">
        <f>ORÇAMENTO!A187</f>
        <v>12.</v>
      </c>
      <c r="B32" s="335" t="str">
        <f>ORÇAMENTO!B187</f>
        <v>VIDROS</v>
      </c>
      <c r="C32" s="69" t="s">
        <v>20</v>
      </c>
      <c r="D32" s="70">
        <v>1</v>
      </c>
      <c r="E32" s="70"/>
      <c r="F32" s="70"/>
      <c r="G32" s="70"/>
      <c r="H32" s="70">
        <v>0.5</v>
      </c>
      <c r="I32" s="70">
        <v>0.5</v>
      </c>
      <c r="J32" s="70"/>
      <c r="K32" s="65">
        <f t="shared" si="0"/>
        <v>1</v>
      </c>
      <c r="M32" s="51"/>
    </row>
    <row r="33" spans="1:13" s="49" customFormat="1" ht="35.1" customHeight="1">
      <c r="A33" s="335"/>
      <c r="B33" s="335"/>
      <c r="C33" s="69" t="s">
        <v>21</v>
      </c>
      <c r="D33" s="71">
        <f>ORÇAMENTO!G190</f>
        <v>2582.36</v>
      </c>
      <c r="E33" s="72">
        <f>E32*$D$33</f>
        <v>0</v>
      </c>
      <c r="F33" s="72">
        <f t="shared" ref="F33:J33" si="12">F32*$D$33</f>
        <v>0</v>
      </c>
      <c r="G33" s="72">
        <f t="shared" si="12"/>
        <v>0</v>
      </c>
      <c r="H33" s="72">
        <f t="shared" si="12"/>
        <v>1291.18</v>
      </c>
      <c r="I33" s="72">
        <f t="shared" si="12"/>
        <v>1291.18</v>
      </c>
      <c r="J33" s="72">
        <f t="shared" si="12"/>
        <v>0</v>
      </c>
      <c r="K33" s="68">
        <f t="shared" si="0"/>
        <v>2582.36</v>
      </c>
      <c r="M33" s="51"/>
    </row>
    <row r="34" spans="1:13" s="49" customFormat="1" ht="35.1" customHeight="1">
      <c r="A34" s="323" t="str">
        <f>ORÇAMENTO!A191</f>
        <v>13.</v>
      </c>
      <c r="B34" s="323" t="str">
        <f>ORÇAMENTO!B191</f>
        <v>PINTURA</v>
      </c>
      <c r="C34" s="63" t="s">
        <v>20</v>
      </c>
      <c r="D34" s="64">
        <v>1</v>
      </c>
      <c r="E34" s="64">
        <v>0.05</v>
      </c>
      <c r="F34" s="64"/>
      <c r="G34" s="64"/>
      <c r="H34" s="64">
        <v>0.45</v>
      </c>
      <c r="I34" s="64">
        <v>0.5</v>
      </c>
      <c r="J34" s="64"/>
      <c r="K34" s="65">
        <f t="shared" si="0"/>
        <v>1</v>
      </c>
      <c r="M34" s="51"/>
    </row>
    <row r="35" spans="1:13" s="49" customFormat="1" ht="35.1" customHeight="1">
      <c r="A35" s="323"/>
      <c r="B35" s="323"/>
      <c r="C35" s="63" t="s">
        <v>21</v>
      </c>
      <c r="D35" s="66">
        <f>ORÇAMENTO!G212</f>
        <v>36256.26</v>
      </c>
      <c r="E35" s="67">
        <f>E34*$D$35</f>
        <v>1812.8130000000001</v>
      </c>
      <c r="F35" s="67">
        <f t="shared" ref="F35:J35" si="13">F34*$D$35</f>
        <v>0</v>
      </c>
      <c r="G35" s="67">
        <f t="shared" si="13"/>
        <v>0</v>
      </c>
      <c r="H35" s="67">
        <f t="shared" si="13"/>
        <v>16315.317000000001</v>
      </c>
      <c r="I35" s="67">
        <f t="shared" si="13"/>
        <v>18128.13</v>
      </c>
      <c r="J35" s="67">
        <f t="shared" si="13"/>
        <v>0</v>
      </c>
      <c r="K35" s="68">
        <f t="shared" si="0"/>
        <v>36256.26</v>
      </c>
      <c r="M35" s="51"/>
    </row>
    <row r="36" spans="1:13" s="49" customFormat="1" ht="35.1" customHeight="1">
      <c r="A36" s="335" t="str">
        <f>ORÇAMENTO!A213</f>
        <v>14.</v>
      </c>
      <c r="B36" s="335" t="str">
        <f>ORÇAMENTO!B213</f>
        <v>PISOS</v>
      </c>
      <c r="C36" s="69" t="s">
        <v>20</v>
      </c>
      <c r="D36" s="70">
        <v>1</v>
      </c>
      <c r="E36" s="70"/>
      <c r="F36" s="70"/>
      <c r="G36" s="70"/>
      <c r="H36" s="70">
        <v>0.2</v>
      </c>
      <c r="I36" s="70">
        <v>0.35</v>
      </c>
      <c r="J36" s="70">
        <v>0.45</v>
      </c>
      <c r="K36" s="65">
        <f t="shared" si="0"/>
        <v>1</v>
      </c>
      <c r="M36" s="51"/>
    </row>
    <row r="37" spans="1:13" s="49" customFormat="1" ht="35.1" customHeight="1">
      <c r="A37" s="335"/>
      <c r="B37" s="335"/>
      <c r="C37" s="69" t="s">
        <v>21</v>
      </c>
      <c r="D37" s="71">
        <f>ORÇAMENTO!G224</f>
        <v>112560.14</v>
      </c>
      <c r="E37" s="72">
        <f>E36*$D$37</f>
        <v>0</v>
      </c>
      <c r="F37" s="72">
        <f t="shared" ref="F37:J37" si="14">F36*$D$37</f>
        <v>0</v>
      </c>
      <c r="G37" s="72">
        <f t="shared" si="14"/>
        <v>0</v>
      </c>
      <c r="H37" s="72">
        <f t="shared" si="14"/>
        <v>22512.028000000002</v>
      </c>
      <c r="I37" s="72">
        <f t="shared" si="14"/>
        <v>39396.048999999999</v>
      </c>
      <c r="J37" s="72">
        <f t="shared" si="14"/>
        <v>50652.063000000002</v>
      </c>
      <c r="K37" s="68">
        <f t="shared" si="0"/>
        <v>112560.14000000001</v>
      </c>
      <c r="M37" s="51"/>
    </row>
    <row r="38" spans="1:13" s="49" customFormat="1" ht="35.1" customHeight="1">
      <c r="A38" s="323" t="str">
        <f>ORÇAMENTO!A225</f>
        <v>15.</v>
      </c>
      <c r="B38" s="323" t="str">
        <f>ORÇAMENTO!B225</f>
        <v>FORRO E TETOS</v>
      </c>
      <c r="C38" s="63" t="s">
        <v>20</v>
      </c>
      <c r="D38" s="64">
        <v>1</v>
      </c>
      <c r="E38" s="64"/>
      <c r="F38" s="64"/>
      <c r="G38" s="64"/>
      <c r="H38" s="64"/>
      <c r="I38" s="64">
        <v>0.5</v>
      </c>
      <c r="J38" s="64">
        <v>0.5</v>
      </c>
      <c r="K38" s="65">
        <f t="shared" ref="K38:K46" si="15">SUM(E38:J38)</f>
        <v>1</v>
      </c>
      <c r="M38" s="51"/>
    </row>
    <row r="39" spans="1:13" s="49" customFormat="1" ht="35.1" customHeight="1">
      <c r="A39" s="323"/>
      <c r="B39" s="323"/>
      <c r="C39" s="63" t="s">
        <v>21</v>
      </c>
      <c r="D39" s="66">
        <f>ORÇAMENTO!G228</f>
        <v>2985.65</v>
      </c>
      <c r="E39" s="67">
        <f>E38*$D$39</f>
        <v>0</v>
      </c>
      <c r="F39" s="67">
        <f t="shared" ref="F39:J39" si="16">F38*$D$39</f>
        <v>0</v>
      </c>
      <c r="G39" s="67">
        <f t="shared" si="16"/>
        <v>0</v>
      </c>
      <c r="H39" s="67">
        <f t="shared" si="16"/>
        <v>0</v>
      </c>
      <c r="I39" s="67">
        <f t="shared" si="16"/>
        <v>1492.825</v>
      </c>
      <c r="J39" s="67">
        <f t="shared" si="16"/>
        <v>1492.825</v>
      </c>
      <c r="K39" s="68">
        <f t="shared" si="15"/>
        <v>2985.65</v>
      </c>
      <c r="M39" s="51"/>
    </row>
    <row r="40" spans="1:13" s="49" customFormat="1" ht="35.1" customHeight="1">
      <c r="A40" s="335" t="str">
        <f>ORÇAMENTO!A229</f>
        <v>16.</v>
      </c>
      <c r="B40" s="335" t="str">
        <f>ORÇAMENTO!B229</f>
        <v>AR CONDICIONADO</v>
      </c>
      <c r="C40" s="69" t="s">
        <v>20</v>
      </c>
      <c r="D40" s="70">
        <v>1</v>
      </c>
      <c r="E40" s="70"/>
      <c r="F40" s="70"/>
      <c r="G40" s="70"/>
      <c r="H40" s="70"/>
      <c r="I40" s="70"/>
      <c r="J40" s="70">
        <v>1</v>
      </c>
      <c r="K40" s="65">
        <f t="shared" si="15"/>
        <v>1</v>
      </c>
      <c r="M40" s="51"/>
    </row>
    <row r="41" spans="1:13" s="49" customFormat="1" ht="35.1" customHeight="1">
      <c r="A41" s="335"/>
      <c r="B41" s="335"/>
      <c r="C41" s="69" t="s">
        <v>21</v>
      </c>
      <c r="D41" s="71">
        <f>ORÇAMENTO!G236</f>
        <v>26675.89</v>
      </c>
      <c r="E41" s="72">
        <f>E40*$D$41</f>
        <v>0</v>
      </c>
      <c r="F41" s="72">
        <f t="shared" ref="F41:J41" si="17">F40*$D$41</f>
        <v>0</v>
      </c>
      <c r="G41" s="72">
        <f t="shared" si="17"/>
        <v>0</v>
      </c>
      <c r="H41" s="72">
        <f t="shared" si="17"/>
        <v>0</v>
      </c>
      <c r="I41" s="72">
        <f t="shared" si="17"/>
        <v>0</v>
      </c>
      <c r="J41" s="72">
        <f t="shared" si="17"/>
        <v>26675.89</v>
      </c>
      <c r="K41" s="68">
        <f t="shared" si="15"/>
        <v>26675.89</v>
      </c>
      <c r="M41" s="51"/>
    </row>
    <row r="42" spans="1:13" s="49" customFormat="1" ht="35.1" customHeight="1">
      <c r="A42" s="323" t="str">
        <f>ORÇAMENTO!A237</f>
        <v>17.</v>
      </c>
      <c r="B42" s="323" t="str">
        <f>ORÇAMENTO!B237</f>
        <v>GERENCIAMENTO DE OBRA/FISCALIZAÇÃO</v>
      </c>
      <c r="C42" s="63" t="s">
        <v>20</v>
      </c>
      <c r="D42" s="64">
        <v>1</v>
      </c>
      <c r="E42" s="64">
        <v>0.2</v>
      </c>
      <c r="F42" s="64">
        <v>0.15</v>
      </c>
      <c r="G42" s="64">
        <v>0.15</v>
      </c>
      <c r="H42" s="64">
        <v>0.15</v>
      </c>
      <c r="I42" s="64">
        <v>0.15</v>
      </c>
      <c r="J42" s="64">
        <v>0.2</v>
      </c>
      <c r="K42" s="65">
        <f t="shared" si="15"/>
        <v>1</v>
      </c>
      <c r="M42" s="51"/>
    </row>
    <row r="43" spans="1:13" s="49" customFormat="1" ht="35.1" customHeight="1">
      <c r="A43" s="323"/>
      <c r="B43" s="323"/>
      <c r="C43" s="63" t="s">
        <v>21</v>
      </c>
      <c r="D43" s="66">
        <f>ORÇAMENTO!G240</f>
        <v>13477.52</v>
      </c>
      <c r="E43" s="67">
        <f>E42*$D$43</f>
        <v>2695.5040000000004</v>
      </c>
      <c r="F43" s="67">
        <f t="shared" ref="F43:J43" si="18">F42*$D$43</f>
        <v>2021.6279999999999</v>
      </c>
      <c r="G43" s="67">
        <f t="shared" si="18"/>
        <v>2021.6279999999999</v>
      </c>
      <c r="H43" s="67">
        <f t="shared" si="18"/>
        <v>2021.6279999999999</v>
      </c>
      <c r="I43" s="67">
        <f t="shared" si="18"/>
        <v>2021.6279999999999</v>
      </c>
      <c r="J43" s="67">
        <f t="shared" si="18"/>
        <v>2695.5040000000004</v>
      </c>
      <c r="K43" s="68">
        <f t="shared" si="15"/>
        <v>13477.520000000002</v>
      </c>
      <c r="M43" s="51"/>
    </row>
    <row r="44" spans="1:13" s="49" customFormat="1" ht="35.1" customHeight="1">
      <c r="A44" s="335" t="str">
        <f>ORÇAMENTO!A241</f>
        <v>18.</v>
      </c>
      <c r="B44" s="335" t="str">
        <f>ORÇAMENTO!B241</f>
        <v>SERVIÇOS COMPLEMENTARES</v>
      </c>
      <c r="C44" s="69" t="s">
        <v>20</v>
      </c>
      <c r="D44" s="70">
        <v>1</v>
      </c>
      <c r="E44" s="70"/>
      <c r="F44" s="70"/>
      <c r="G44" s="70">
        <v>0.1</v>
      </c>
      <c r="H44" s="70"/>
      <c r="I44" s="70">
        <v>0.1</v>
      </c>
      <c r="J44" s="70">
        <v>0.8</v>
      </c>
      <c r="K44" s="65">
        <f t="shared" si="15"/>
        <v>1</v>
      </c>
      <c r="M44" s="51"/>
    </row>
    <row r="45" spans="1:13" s="49" customFormat="1" ht="35.1" customHeight="1">
      <c r="A45" s="335"/>
      <c r="B45" s="335"/>
      <c r="C45" s="69" t="s">
        <v>21</v>
      </c>
      <c r="D45" s="71">
        <f>ORÇAMENTO!G258</f>
        <v>44083.79</v>
      </c>
      <c r="E45" s="72">
        <f>E44*$D$45</f>
        <v>0</v>
      </c>
      <c r="F45" s="72">
        <f t="shared" ref="F45:J45" si="19">F44*$D$45</f>
        <v>0</v>
      </c>
      <c r="G45" s="72">
        <f t="shared" si="19"/>
        <v>4408.3789999999999</v>
      </c>
      <c r="H45" s="72">
        <f t="shared" si="19"/>
        <v>0</v>
      </c>
      <c r="I45" s="72">
        <f t="shared" si="19"/>
        <v>4408.3789999999999</v>
      </c>
      <c r="J45" s="72">
        <f t="shared" si="19"/>
        <v>35267.031999999999</v>
      </c>
      <c r="K45" s="68">
        <f t="shared" si="15"/>
        <v>44083.79</v>
      </c>
      <c r="M45" s="51"/>
    </row>
    <row r="46" spans="1:13" s="49" customFormat="1" ht="35.1" customHeight="1">
      <c r="A46" s="345" t="s">
        <v>10</v>
      </c>
      <c r="B46" s="346"/>
      <c r="C46" s="73" t="s">
        <v>20</v>
      </c>
      <c r="D46" s="70">
        <v>1</v>
      </c>
      <c r="E46" s="65">
        <f>E47/$D$47</f>
        <v>0.17223258900415195</v>
      </c>
      <c r="F46" s="65">
        <f t="shared" ref="F46:J46" si="20">F47/$D$47</f>
        <v>0.14744753748346556</v>
      </c>
      <c r="G46" s="65">
        <f t="shared" si="20"/>
        <v>0.15974869517579143</v>
      </c>
      <c r="H46" s="65">
        <f t="shared" si="20"/>
        <v>0.17422405577687905</v>
      </c>
      <c r="I46" s="65">
        <f t="shared" si="20"/>
        <v>0.16308003631796508</v>
      </c>
      <c r="J46" s="65">
        <f t="shared" si="20"/>
        <v>0.1832670862417469</v>
      </c>
      <c r="K46" s="65">
        <f t="shared" si="15"/>
        <v>1</v>
      </c>
    </row>
    <row r="47" spans="1:13" s="49" customFormat="1" ht="35.1" customHeight="1">
      <c r="A47" s="347"/>
      <c r="B47" s="348"/>
      <c r="C47" s="74" t="s">
        <v>21</v>
      </c>
      <c r="D47" s="75">
        <f>ROUND(D11+D13+D15+D17+D19+D21+D23+D25+D27+D29+D31+D33+D35+D37+D39+D41+D43+D45,2)</f>
        <v>786872.28</v>
      </c>
      <c r="E47" s="75">
        <f t="shared" ref="E47:J47" si="21">ROUND(E11+E13+E15+E17+E19+E21+E23+E25+E27+E29+E31+E33+E35+E37+E39+E41+E43+E45,2)</f>
        <v>135525.04999999999</v>
      </c>
      <c r="F47" s="75">
        <f t="shared" si="21"/>
        <v>116022.38</v>
      </c>
      <c r="G47" s="75">
        <f t="shared" si="21"/>
        <v>125701.82</v>
      </c>
      <c r="H47" s="75">
        <f t="shared" si="21"/>
        <v>137092.07999999999</v>
      </c>
      <c r="I47" s="75">
        <f t="shared" si="21"/>
        <v>128323.16</v>
      </c>
      <c r="J47" s="75">
        <f t="shared" si="21"/>
        <v>144207.79</v>
      </c>
      <c r="K47" s="75">
        <f>ROUND(K11+K13+K15+K17+K19+K21+K23+K25+K27+K29+K31+K33+K35+K37+K39+K41+K43+K45,2)</f>
        <v>786872.28</v>
      </c>
    </row>
    <row r="48" spans="1:13" s="49" customFormat="1" ht="35.1" customHeight="1">
      <c r="A48" s="342"/>
      <c r="B48" s="343"/>
      <c r="C48" s="343"/>
      <c r="D48" s="343"/>
      <c r="E48" s="343"/>
      <c r="F48" s="343"/>
      <c r="G48" s="343"/>
      <c r="H48" s="343"/>
      <c r="I48" s="343"/>
      <c r="J48" s="343"/>
      <c r="K48" s="344"/>
    </row>
    <row r="49" spans="1:11" s="49" customFormat="1" ht="35.1" customHeight="1">
      <c r="A49" s="336" t="s">
        <v>12</v>
      </c>
      <c r="B49" s="337"/>
      <c r="C49" s="337"/>
      <c r="D49" s="337"/>
      <c r="E49" s="337"/>
      <c r="F49" s="337"/>
      <c r="G49" s="337"/>
      <c r="H49" s="337"/>
      <c r="I49" s="337"/>
      <c r="J49" s="337"/>
      <c r="K49" s="338"/>
    </row>
    <row r="50" spans="1:11" s="49" customFormat="1" ht="35.1" customHeight="1">
      <c r="A50" s="336" t="s">
        <v>29</v>
      </c>
      <c r="B50" s="337"/>
      <c r="C50" s="337"/>
      <c r="D50" s="337"/>
      <c r="E50" s="337"/>
      <c r="F50" s="337"/>
      <c r="G50" s="337"/>
      <c r="H50" s="337"/>
      <c r="I50" s="337"/>
      <c r="J50" s="337"/>
      <c r="K50" s="338"/>
    </row>
    <row r="51" spans="1:11" s="49" customFormat="1" ht="35.1" customHeight="1">
      <c r="A51" s="339" t="s">
        <v>30</v>
      </c>
      <c r="B51" s="340"/>
      <c r="C51" s="340"/>
      <c r="D51" s="340"/>
      <c r="E51" s="340"/>
      <c r="F51" s="340"/>
      <c r="G51" s="340"/>
      <c r="H51" s="340"/>
      <c r="I51" s="340"/>
      <c r="J51" s="340"/>
      <c r="K51" s="341"/>
    </row>
    <row r="52" spans="1:11" ht="24.75" customHeight="1">
      <c r="A52" s="278"/>
      <c r="B52" s="279"/>
      <c r="C52" s="279"/>
      <c r="D52" s="279"/>
      <c r="E52" s="279"/>
      <c r="F52" s="279"/>
      <c r="G52" s="279"/>
      <c r="H52" s="279"/>
      <c r="I52" s="279"/>
      <c r="J52" s="279"/>
      <c r="K52" s="280"/>
    </row>
  </sheetData>
  <mergeCells count="52">
    <mergeCell ref="A46:B47"/>
    <mergeCell ref="A32:A33"/>
    <mergeCell ref="B32:B33"/>
    <mergeCell ref="A36:A37"/>
    <mergeCell ref="B36:B37"/>
    <mergeCell ref="A38:A39"/>
    <mergeCell ref="B38:B39"/>
    <mergeCell ref="A40:A41"/>
    <mergeCell ref="B40:B41"/>
    <mergeCell ref="A42:A43"/>
    <mergeCell ref="A44:A45"/>
    <mergeCell ref="B44:B45"/>
    <mergeCell ref="B42:B43"/>
    <mergeCell ref="A52:K52"/>
    <mergeCell ref="A49:K49"/>
    <mergeCell ref="A50:K50"/>
    <mergeCell ref="A51:K51"/>
    <mergeCell ref="A48:K48"/>
    <mergeCell ref="A26:A27"/>
    <mergeCell ref="B26:B27"/>
    <mergeCell ref="A30:A31"/>
    <mergeCell ref="B30:B31"/>
    <mergeCell ref="A28:A29"/>
    <mergeCell ref="B28:B29"/>
    <mergeCell ref="B12:B13"/>
    <mergeCell ref="B10:B11"/>
    <mergeCell ref="A16:A17"/>
    <mergeCell ref="A24:A25"/>
    <mergeCell ref="B16:B17"/>
    <mergeCell ref="B24:B25"/>
    <mergeCell ref="A18:A19"/>
    <mergeCell ref="B18:B19"/>
    <mergeCell ref="A20:A21"/>
    <mergeCell ref="B20:B21"/>
    <mergeCell ref="A22:A23"/>
    <mergeCell ref="B22:B23"/>
    <mergeCell ref="C7:K7"/>
    <mergeCell ref="A34:A35"/>
    <mergeCell ref="B34:B35"/>
    <mergeCell ref="A1:B1"/>
    <mergeCell ref="A2:K2"/>
    <mergeCell ref="A4:K4"/>
    <mergeCell ref="A5:K5"/>
    <mergeCell ref="C1:K1"/>
    <mergeCell ref="A3:I3"/>
    <mergeCell ref="A6:K6"/>
    <mergeCell ref="A7:B7"/>
    <mergeCell ref="A8:K8"/>
    <mergeCell ref="A10:A11"/>
    <mergeCell ref="A14:A15"/>
    <mergeCell ref="B14:B15"/>
    <mergeCell ref="A12:A13"/>
  </mergeCells>
  <phoneticPr fontId="38" type="noConversion"/>
  <printOptions horizontalCentered="1" verticalCentered="1"/>
  <pageMargins left="0.51181102362204722" right="0.51181102362204722" top="0.39370078740157483" bottom="0.39370078740157483" header="0.31496062992125984" footer="0.31496062992125984"/>
  <pageSetup paperSize="9" scale="2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F7F7A-E90B-46F3-AD1F-6BA7E595F037}">
  <dimension ref="A1:P42"/>
  <sheetViews>
    <sheetView view="pageBreakPreview" topLeftCell="A2" zoomScale="85" zoomScaleNormal="100" zoomScaleSheetLayoutView="85" workbookViewId="0">
      <selection sqref="A1:H42"/>
    </sheetView>
  </sheetViews>
  <sheetFormatPr defaultRowHeight="12.75"/>
  <cols>
    <col min="1" max="1" width="17.7109375" style="56" customWidth="1"/>
    <col min="2" max="3" width="15.7109375" style="57" customWidth="1"/>
    <col min="4" max="4" width="90.7109375" style="57" customWidth="1"/>
    <col min="5" max="5" width="12.7109375" style="56" customWidth="1"/>
    <col min="6" max="8" width="15.7109375" style="56" customWidth="1"/>
    <col min="9" max="9" width="15.5703125" style="56" customWidth="1"/>
    <col min="10" max="16384" width="9.140625" style="56"/>
  </cols>
  <sheetData>
    <row r="1" spans="1:16" ht="65.099999999999994" customHeight="1">
      <c r="A1" s="381"/>
      <c r="B1" s="381"/>
      <c r="C1" s="381"/>
      <c r="D1" s="382"/>
      <c r="E1" s="382"/>
      <c r="F1" s="382"/>
      <c r="G1" s="382"/>
      <c r="H1" s="382"/>
      <c r="I1" s="109"/>
    </row>
    <row r="2" spans="1:16">
      <c r="A2" s="313" t="s">
        <v>273</v>
      </c>
      <c r="B2" s="313"/>
      <c r="C2" s="313"/>
      <c r="D2" s="313"/>
      <c r="E2" s="313"/>
      <c r="F2" s="313"/>
      <c r="G2" s="313"/>
      <c r="H2" s="313"/>
      <c r="I2" s="55"/>
    </row>
    <row r="3" spans="1:16">
      <c r="A3" s="314" t="str">
        <f>ORÇAMENTO!A3</f>
        <v>OBRA: PROJETO DE REFORMA E AMPLIAÇÃO DO NOVO PRONTO ATENDIMENTO DO MUNICÍPIO DE OURO FINO</v>
      </c>
      <c r="B3" s="314"/>
      <c r="C3" s="314"/>
      <c r="D3" s="314"/>
      <c r="E3" s="314"/>
      <c r="F3" s="314"/>
      <c r="G3" s="82" t="s">
        <v>364</v>
      </c>
      <c r="H3" s="183">
        <f>ORÇAMENTO!I3</f>
        <v>46003</v>
      </c>
    </row>
    <row r="4" spans="1:16">
      <c r="A4" s="315" t="str">
        <f>ORÇAMENTO!A4</f>
        <v>LOCAL: RUA 13 MAIO, CENTRO, OURO FINO - MG</v>
      </c>
      <c r="B4" s="315"/>
      <c r="C4" s="315"/>
      <c r="D4" s="315"/>
      <c r="E4" s="315"/>
      <c r="F4" s="315"/>
      <c r="G4" s="315"/>
      <c r="H4" s="315"/>
    </row>
    <row r="5" spans="1:16">
      <c r="A5" s="315" t="str">
        <f>ORÇAMENTO!A5</f>
        <v>REGIÃO/MÊS DE REF.: SETOP SUL/JULHO 2025 S/ DESONERAÇÃO / SINAPI 09-2025 NÃO DESONERADO</v>
      </c>
      <c r="B5" s="315"/>
      <c r="C5" s="315"/>
      <c r="D5" s="315"/>
      <c r="E5" s="315"/>
      <c r="F5" s="315"/>
      <c r="G5" s="315"/>
      <c r="H5" s="315"/>
    </row>
    <row r="6" spans="1:16" ht="13.5" customHeight="1">
      <c r="A6" s="317" t="str">
        <f>ORÇAMENTO!A6</f>
        <v>PRAZO DE EXECUÇÃO: 6 MESES</v>
      </c>
      <c r="B6" s="317"/>
      <c r="C6" s="317"/>
      <c r="D6" s="317"/>
      <c r="E6" s="317"/>
      <c r="F6" s="317"/>
      <c r="G6" s="317"/>
      <c r="H6" s="317"/>
    </row>
    <row r="7" spans="1:16" customFormat="1" ht="12.75" customHeight="1">
      <c r="A7" s="378" t="str">
        <f>ORÇAMENTO!A7</f>
        <v>VALOR ESTIMADO DA OBRA:</v>
      </c>
      <c r="B7" s="379"/>
      <c r="C7" s="379"/>
      <c r="D7" s="110">
        <f>ORÇAMENTO!D7</f>
        <v>786872.28</v>
      </c>
      <c r="E7" s="111"/>
      <c r="F7" s="111"/>
      <c r="G7" s="111"/>
      <c r="H7" s="112"/>
      <c r="I7" s="113"/>
      <c r="J7" s="113"/>
      <c r="K7" s="113"/>
      <c r="L7" s="113"/>
      <c r="M7" s="113"/>
    </row>
    <row r="8" spans="1:16">
      <c r="A8" s="380"/>
      <c r="B8" s="380"/>
      <c r="C8" s="380"/>
      <c r="D8" s="380"/>
      <c r="E8" s="380"/>
      <c r="F8" s="380"/>
      <c r="G8" s="380"/>
      <c r="H8" s="380"/>
    </row>
    <row r="9" spans="1:16" s="114" customFormat="1" ht="24" customHeight="1">
      <c r="A9" s="126" t="s">
        <v>274</v>
      </c>
      <c r="B9" s="127" t="s">
        <v>703</v>
      </c>
      <c r="C9" s="349" t="s">
        <v>702</v>
      </c>
      <c r="D9" s="350"/>
      <c r="E9" s="128" t="s">
        <v>275</v>
      </c>
      <c r="F9" s="129" t="s">
        <v>42</v>
      </c>
      <c r="G9" s="130"/>
      <c r="H9" s="131"/>
    </row>
    <row r="10" spans="1:16" s="114" customFormat="1" ht="11.25">
      <c r="A10" s="351" t="s">
        <v>276</v>
      </c>
      <c r="B10" s="352" t="s">
        <v>277</v>
      </c>
      <c r="C10" s="353"/>
      <c r="D10" s="351" t="s">
        <v>1</v>
      </c>
      <c r="E10" s="351" t="s">
        <v>278</v>
      </c>
      <c r="F10" s="356" t="s">
        <v>279</v>
      </c>
      <c r="G10" s="357" t="s">
        <v>280</v>
      </c>
      <c r="H10" s="358" t="s">
        <v>10</v>
      </c>
    </row>
    <row r="11" spans="1:16" s="114" customFormat="1" ht="11.25">
      <c r="A11" s="351"/>
      <c r="B11" s="354"/>
      <c r="C11" s="355"/>
      <c r="D11" s="351"/>
      <c r="E11" s="351"/>
      <c r="F11" s="356"/>
      <c r="G11" s="357"/>
      <c r="H11" s="358"/>
    </row>
    <row r="12" spans="1:16">
      <c r="A12" s="78" t="s">
        <v>281</v>
      </c>
      <c r="B12" s="78" t="s">
        <v>32</v>
      </c>
      <c r="C12" s="115" t="s">
        <v>2</v>
      </c>
      <c r="D12" s="116" t="s">
        <v>1</v>
      </c>
      <c r="E12" s="78" t="s">
        <v>44</v>
      </c>
      <c r="F12" s="78" t="s">
        <v>282</v>
      </c>
      <c r="G12" s="78" t="s">
        <v>283</v>
      </c>
      <c r="H12" s="78" t="s">
        <v>284</v>
      </c>
      <c r="J12" s="117"/>
      <c r="K12" s="118"/>
      <c r="L12" s="117"/>
      <c r="M12" s="118"/>
      <c r="N12" s="119"/>
      <c r="O12" s="120"/>
      <c r="P12" s="121"/>
    </row>
    <row r="13" spans="1:16">
      <c r="A13" s="78" t="s">
        <v>288</v>
      </c>
      <c r="B13" s="78" t="s">
        <v>148</v>
      </c>
      <c r="C13" s="78">
        <v>5031</v>
      </c>
      <c r="D13" s="122" t="s">
        <v>698</v>
      </c>
      <c r="E13" s="78" t="s">
        <v>42</v>
      </c>
      <c r="F13" s="123">
        <v>2.94</v>
      </c>
      <c r="G13" s="123">
        <v>255.19</v>
      </c>
      <c r="H13" s="123">
        <f t="shared" ref="H13:H16" si="0">G13*F13</f>
        <v>750.2586</v>
      </c>
      <c r="J13" s="375"/>
      <c r="K13" s="375"/>
    </row>
    <row r="14" spans="1:16" ht="33.75">
      <c r="A14" s="78" t="s">
        <v>288</v>
      </c>
      <c r="B14" s="78" t="s">
        <v>148</v>
      </c>
      <c r="C14" s="78">
        <v>3104</v>
      </c>
      <c r="D14" s="122" t="s">
        <v>699</v>
      </c>
      <c r="E14" s="78" t="s">
        <v>179</v>
      </c>
      <c r="F14" s="123">
        <v>2</v>
      </c>
      <c r="G14" s="123">
        <v>155.46</v>
      </c>
      <c r="H14" s="123">
        <f t="shared" si="0"/>
        <v>310.92</v>
      </c>
      <c r="J14" s="375"/>
      <c r="K14" s="375"/>
    </row>
    <row r="15" spans="1:16">
      <c r="A15" s="78" t="s">
        <v>274</v>
      </c>
      <c r="B15" s="78" t="s">
        <v>678</v>
      </c>
      <c r="C15" s="78" t="s">
        <v>292</v>
      </c>
      <c r="D15" s="122" t="s">
        <v>285</v>
      </c>
      <c r="E15" s="78" t="s">
        <v>286</v>
      </c>
      <c r="F15" s="123">
        <v>3.988</v>
      </c>
      <c r="G15" s="123">
        <v>18.53</v>
      </c>
      <c r="H15" s="123">
        <f t="shared" si="0"/>
        <v>73.89764000000001</v>
      </c>
      <c r="J15" s="375"/>
      <c r="K15" s="375"/>
    </row>
    <row r="16" spans="1:16">
      <c r="A16" s="78" t="s">
        <v>274</v>
      </c>
      <c r="B16" s="78" t="s">
        <v>678</v>
      </c>
      <c r="C16" s="78" t="s">
        <v>700</v>
      </c>
      <c r="D16" s="122" t="s">
        <v>701</v>
      </c>
      <c r="E16" s="78" t="s">
        <v>286</v>
      </c>
      <c r="F16" s="123">
        <v>4.0999999999999996</v>
      </c>
      <c r="G16" s="123">
        <v>25.06</v>
      </c>
      <c r="H16" s="123">
        <f t="shared" si="0"/>
        <v>102.74599999999998</v>
      </c>
      <c r="J16" s="375"/>
      <c r="K16" s="375"/>
    </row>
    <row r="17" spans="1:16" s="114" customFormat="1" ht="11.25">
      <c r="A17" s="78"/>
      <c r="B17" s="78"/>
      <c r="C17" s="78"/>
      <c r="D17" s="124"/>
      <c r="E17" s="78"/>
      <c r="F17" s="376" t="s">
        <v>287</v>
      </c>
      <c r="G17" s="377"/>
      <c r="H17" s="125">
        <f>ROUND(SUM(H13:H16),2)</f>
        <v>1237.82</v>
      </c>
    </row>
    <row r="18" spans="1:16">
      <c r="A18" s="361"/>
      <c r="B18" s="362"/>
      <c r="C18" s="362"/>
      <c r="D18" s="362"/>
      <c r="E18" s="362"/>
      <c r="F18" s="362"/>
      <c r="G18" s="362"/>
      <c r="H18" s="363"/>
      <c r="I18"/>
    </row>
    <row r="19" spans="1:16" s="114" customFormat="1" ht="52.5" customHeight="1">
      <c r="A19" s="239" t="s">
        <v>274</v>
      </c>
      <c r="B19" s="240" t="s">
        <v>770</v>
      </c>
      <c r="C19" s="359" t="s">
        <v>769</v>
      </c>
      <c r="D19" s="360"/>
      <c r="E19" s="241" t="s">
        <v>275</v>
      </c>
      <c r="F19" s="242" t="s">
        <v>44</v>
      </c>
      <c r="G19" s="243"/>
      <c r="H19" s="244"/>
    </row>
    <row r="20" spans="1:16" s="114" customFormat="1" ht="11.25">
      <c r="A20" s="351" t="s">
        <v>276</v>
      </c>
      <c r="B20" s="352" t="s">
        <v>277</v>
      </c>
      <c r="C20" s="353"/>
      <c r="D20" s="351" t="s">
        <v>1</v>
      </c>
      <c r="E20" s="351" t="s">
        <v>278</v>
      </c>
      <c r="F20" s="356" t="s">
        <v>279</v>
      </c>
      <c r="G20" s="357" t="s">
        <v>280</v>
      </c>
      <c r="H20" s="364" t="s">
        <v>10</v>
      </c>
    </row>
    <row r="21" spans="1:16" s="114" customFormat="1" ht="11.25">
      <c r="A21" s="351"/>
      <c r="B21" s="354"/>
      <c r="C21" s="355"/>
      <c r="D21" s="351"/>
      <c r="E21" s="351"/>
      <c r="F21" s="356"/>
      <c r="G21" s="357"/>
      <c r="H21" s="364"/>
    </row>
    <row r="22" spans="1:16">
      <c r="A22" s="78" t="s">
        <v>763</v>
      </c>
      <c r="B22" s="78" t="s">
        <v>32</v>
      </c>
      <c r="C22" s="115" t="s">
        <v>2</v>
      </c>
      <c r="D22" s="116" t="s">
        <v>1</v>
      </c>
      <c r="E22" s="78" t="s">
        <v>764</v>
      </c>
      <c r="F22" s="78" t="s">
        <v>282</v>
      </c>
      <c r="G22" s="78" t="s">
        <v>283</v>
      </c>
      <c r="H22" s="245" t="s">
        <v>284</v>
      </c>
      <c r="J22" s="117"/>
      <c r="K22" s="118"/>
      <c r="L22" s="117"/>
      <c r="M22" s="118"/>
      <c r="N22" s="119"/>
      <c r="O22" s="120"/>
      <c r="P22" s="121"/>
    </row>
    <row r="23" spans="1:16">
      <c r="A23" s="78" t="s">
        <v>288</v>
      </c>
      <c r="B23" s="78" t="s">
        <v>148</v>
      </c>
      <c r="C23" s="115">
        <v>4375</v>
      </c>
      <c r="D23" s="122" t="s">
        <v>769</v>
      </c>
      <c r="E23" s="78" t="s">
        <v>44</v>
      </c>
      <c r="F23" s="123">
        <v>1</v>
      </c>
      <c r="G23" s="123">
        <v>0.1</v>
      </c>
      <c r="H23" s="123">
        <f t="shared" ref="H23:H24" si="1">G23*F23</f>
        <v>0.1</v>
      </c>
      <c r="J23" s="246"/>
      <c r="K23" s="225"/>
      <c r="L23" s="246"/>
      <c r="M23" s="225"/>
      <c r="N23" s="247"/>
      <c r="O23" s="248"/>
      <c r="P23" s="249"/>
    </row>
    <row r="24" spans="1:16">
      <c r="A24" s="78" t="s">
        <v>274</v>
      </c>
      <c r="B24" s="78" t="s">
        <v>678</v>
      </c>
      <c r="C24" s="115" t="s">
        <v>765</v>
      </c>
      <c r="D24" s="122" t="s">
        <v>766</v>
      </c>
      <c r="E24" s="78" t="s">
        <v>286</v>
      </c>
      <c r="F24" s="123">
        <v>1.23E-2</v>
      </c>
      <c r="G24" s="123">
        <v>27.8</v>
      </c>
      <c r="H24" s="123">
        <f t="shared" si="1"/>
        <v>0.34194000000000002</v>
      </c>
      <c r="J24" s="246"/>
      <c r="K24" s="225"/>
      <c r="L24" s="246"/>
      <c r="M24" s="225"/>
      <c r="N24" s="247"/>
      <c r="O24" s="248"/>
      <c r="P24" s="249"/>
    </row>
    <row r="25" spans="1:16" s="114" customFormat="1" ht="11.25">
      <c r="A25" s="78"/>
      <c r="B25" s="78"/>
      <c r="C25" s="78"/>
      <c r="D25" s="124"/>
      <c r="E25" s="78"/>
      <c r="F25" s="374" t="s">
        <v>287</v>
      </c>
      <c r="G25" s="374"/>
      <c r="H25" s="250">
        <f>ROUND(SUM(H23:H24),2)</f>
        <v>0.44</v>
      </c>
    </row>
    <row r="26" spans="1:16">
      <c r="A26" s="361"/>
      <c r="B26" s="362"/>
      <c r="C26" s="362"/>
      <c r="D26" s="362"/>
      <c r="E26" s="362"/>
      <c r="F26" s="362"/>
      <c r="G26" s="362"/>
      <c r="H26" s="363"/>
      <c r="I26"/>
    </row>
    <row r="27" spans="1:16" s="114" customFormat="1" ht="52.5" customHeight="1">
      <c r="A27" s="239" t="s">
        <v>274</v>
      </c>
      <c r="B27" s="240" t="s">
        <v>771</v>
      </c>
      <c r="C27" s="359" t="s">
        <v>124</v>
      </c>
      <c r="D27" s="360"/>
      <c r="E27" s="241" t="s">
        <v>275</v>
      </c>
      <c r="F27" s="242" t="s">
        <v>33</v>
      </c>
      <c r="G27" s="243"/>
      <c r="H27" s="244"/>
    </row>
    <row r="28" spans="1:16" s="114" customFormat="1" ht="11.25">
      <c r="A28" s="351" t="s">
        <v>276</v>
      </c>
      <c r="B28" s="352" t="s">
        <v>277</v>
      </c>
      <c r="C28" s="353"/>
      <c r="D28" s="351" t="s">
        <v>1</v>
      </c>
      <c r="E28" s="351" t="s">
        <v>278</v>
      </c>
      <c r="F28" s="356" t="s">
        <v>279</v>
      </c>
      <c r="G28" s="357" t="s">
        <v>280</v>
      </c>
      <c r="H28" s="364" t="s">
        <v>10</v>
      </c>
    </row>
    <row r="29" spans="1:16" s="114" customFormat="1" ht="11.25">
      <c r="A29" s="351"/>
      <c r="B29" s="354"/>
      <c r="C29" s="355"/>
      <c r="D29" s="351"/>
      <c r="E29" s="351"/>
      <c r="F29" s="356"/>
      <c r="G29" s="357"/>
      <c r="H29" s="364"/>
    </row>
    <row r="30" spans="1:16">
      <c r="A30" s="78" t="s">
        <v>763</v>
      </c>
      <c r="B30" s="78" t="s">
        <v>32</v>
      </c>
      <c r="C30" s="115" t="s">
        <v>2</v>
      </c>
      <c r="D30" s="116" t="s">
        <v>1</v>
      </c>
      <c r="E30" s="78" t="s">
        <v>764</v>
      </c>
      <c r="F30" s="78" t="s">
        <v>282</v>
      </c>
      <c r="G30" s="78" t="s">
        <v>283</v>
      </c>
      <c r="H30" s="245" t="s">
        <v>284</v>
      </c>
      <c r="J30" s="117"/>
      <c r="K30" s="118"/>
      <c r="L30" s="117"/>
      <c r="M30" s="118"/>
      <c r="N30" s="119"/>
      <c r="O30" s="120"/>
      <c r="P30" s="121"/>
    </row>
    <row r="31" spans="1:16">
      <c r="A31" s="78" t="s">
        <v>288</v>
      </c>
      <c r="B31" s="78" t="s">
        <v>148</v>
      </c>
      <c r="C31" s="115">
        <v>404</v>
      </c>
      <c r="D31" s="122" t="s">
        <v>124</v>
      </c>
      <c r="E31" s="78" t="s">
        <v>33</v>
      </c>
      <c r="F31" s="123">
        <v>1</v>
      </c>
      <c r="G31" s="123">
        <v>1.43</v>
      </c>
      <c r="H31" s="123">
        <f t="shared" ref="H31:H32" si="2">G31*F31</f>
        <v>1.43</v>
      </c>
      <c r="J31" s="246"/>
      <c r="K31" s="225"/>
      <c r="L31" s="246"/>
      <c r="M31" s="225"/>
      <c r="N31" s="247"/>
      <c r="O31" s="248"/>
      <c r="P31" s="249"/>
    </row>
    <row r="32" spans="1:16">
      <c r="A32" s="78" t="s">
        <v>274</v>
      </c>
      <c r="B32" s="78" t="s">
        <v>678</v>
      </c>
      <c r="C32" s="115" t="s">
        <v>765</v>
      </c>
      <c r="D32" s="122" t="s">
        <v>766</v>
      </c>
      <c r="E32" s="78" t="s">
        <v>286</v>
      </c>
      <c r="F32" s="123">
        <v>2.3400000000000001E-2</v>
      </c>
      <c r="G32" s="123">
        <v>27.8</v>
      </c>
      <c r="H32" s="123">
        <f t="shared" si="2"/>
        <v>0.65051999999999999</v>
      </c>
      <c r="J32" s="246"/>
      <c r="K32" s="225"/>
      <c r="L32" s="246"/>
      <c r="M32" s="225"/>
      <c r="N32" s="247"/>
      <c r="O32" s="248"/>
      <c r="P32" s="249"/>
    </row>
    <row r="33" spans="1:9" s="114" customFormat="1" ht="11.25">
      <c r="A33" s="78"/>
      <c r="B33" s="78"/>
      <c r="C33" s="78"/>
      <c r="D33" s="124"/>
      <c r="E33" s="78"/>
      <c r="F33" s="374" t="s">
        <v>287</v>
      </c>
      <c r="G33" s="374"/>
      <c r="H33" s="250">
        <f>ROUND(SUM(H31:H32),2)</f>
        <v>2.08</v>
      </c>
    </row>
    <row r="34" spans="1:9">
      <c r="A34" s="226"/>
      <c r="B34" s="227"/>
      <c r="C34" s="227"/>
      <c r="D34" s="227"/>
      <c r="E34" s="227"/>
      <c r="F34" s="227"/>
      <c r="G34" s="227"/>
      <c r="H34" s="228"/>
      <c r="I34"/>
    </row>
    <row r="35" spans="1:9" s="114" customFormat="1" ht="11.25">
      <c r="A35" s="371"/>
      <c r="B35" s="372"/>
      <c r="C35" s="372"/>
      <c r="D35" s="372"/>
      <c r="E35" s="372"/>
      <c r="F35" s="372"/>
      <c r="G35" s="372"/>
      <c r="H35" s="373"/>
    </row>
    <row r="36" spans="1:9" s="114" customFormat="1" ht="11.25">
      <c r="A36" s="371"/>
      <c r="B36" s="372"/>
      <c r="C36" s="372"/>
      <c r="D36" s="372"/>
      <c r="E36" s="372"/>
      <c r="F36" s="372"/>
      <c r="G36" s="372"/>
      <c r="H36" s="373"/>
    </row>
    <row r="37" spans="1:9" s="114" customFormat="1" ht="11.25">
      <c r="A37" s="371"/>
      <c r="B37" s="372"/>
      <c r="C37" s="372"/>
      <c r="D37" s="372"/>
      <c r="E37" s="372"/>
      <c r="F37" s="372"/>
      <c r="G37" s="372"/>
      <c r="H37" s="373"/>
    </row>
    <row r="38" spans="1:9">
      <c r="A38" s="284" t="s">
        <v>12</v>
      </c>
      <c r="B38" s="285"/>
      <c r="C38" s="285"/>
      <c r="D38" s="285"/>
      <c r="E38" s="285"/>
      <c r="F38" s="285"/>
      <c r="G38" s="285"/>
      <c r="H38" s="286"/>
    </row>
    <row r="39" spans="1:9" s="54" customFormat="1" ht="15">
      <c r="A39" s="284" t="s">
        <v>29</v>
      </c>
      <c r="B39" s="285"/>
      <c r="C39" s="285"/>
      <c r="D39" s="285"/>
      <c r="E39" s="285"/>
      <c r="F39" s="285"/>
      <c r="G39" s="285"/>
      <c r="H39" s="286"/>
    </row>
    <row r="40" spans="1:9" s="54" customFormat="1" ht="15">
      <c r="A40" s="275" t="s">
        <v>30</v>
      </c>
      <c r="B40" s="276"/>
      <c r="C40" s="276"/>
      <c r="D40" s="276"/>
      <c r="E40" s="276"/>
      <c r="F40" s="276"/>
      <c r="G40" s="276"/>
      <c r="H40" s="277"/>
    </row>
    <row r="41" spans="1:9" s="54" customFormat="1" ht="15">
      <c r="A41" s="365"/>
      <c r="B41" s="366"/>
      <c r="C41" s="366"/>
      <c r="D41" s="366"/>
      <c r="E41" s="366"/>
      <c r="F41" s="366"/>
      <c r="G41" s="366"/>
      <c r="H41" s="367"/>
    </row>
    <row r="42" spans="1:9" s="54" customFormat="1" ht="15">
      <c r="A42" s="368"/>
      <c r="B42" s="369"/>
      <c r="C42" s="369"/>
      <c r="D42" s="369"/>
      <c r="E42" s="369"/>
      <c r="F42" s="369"/>
      <c r="G42" s="369"/>
      <c r="H42" s="370"/>
    </row>
  </sheetData>
  <mergeCells count="50">
    <mergeCell ref="A6:H6"/>
    <mergeCell ref="A7:C7"/>
    <mergeCell ref="A8:H8"/>
    <mergeCell ref="A1:C1"/>
    <mergeCell ref="D1:H1"/>
    <mergeCell ref="A2:H2"/>
    <mergeCell ref="A3:F3"/>
    <mergeCell ref="A5:H5"/>
    <mergeCell ref="A4:H4"/>
    <mergeCell ref="J13:K13"/>
    <mergeCell ref="J14:K14"/>
    <mergeCell ref="J15:K15"/>
    <mergeCell ref="J16:K16"/>
    <mergeCell ref="F17:G17"/>
    <mergeCell ref="B20:C21"/>
    <mergeCell ref="A41:H41"/>
    <mergeCell ref="A42:H42"/>
    <mergeCell ref="A37:H37"/>
    <mergeCell ref="A35:H35"/>
    <mergeCell ref="A36:H36"/>
    <mergeCell ref="A39:H39"/>
    <mergeCell ref="A38:H38"/>
    <mergeCell ref="A40:H40"/>
    <mergeCell ref="F33:G33"/>
    <mergeCell ref="F25:G25"/>
    <mergeCell ref="A26:H26"/>
    <mergeCell ref="C27:D27"/>
    <mergeCell ref="A28:A29"/>
    <mergeCell ref="B28:C29"/>
    <mergeCell ref="D28:D29"/>
    <mergeCell ref="E28:E29"/>
    <mergeCell ref="F10:F11"/>
    <mergeCell ref="G10:G11"/>
    <mergeCell ref="H10:H11"/>
    <mergeCell ref="C19:D19"/>
    <mergeCell ref="A18:H18"/>
    <mergeCell ref="F28:F29"/>
    <mergeCell ref="G28:G29"/>
    <mergeCell ref="H28:H29"/>
    <mergeCell ref="D20:D21"/>
    <mergeCell ref="E20:E21"/>
    <mergeCell ref="F20:F21"/>
    <mergeCell ref="G20:G21"/>
    <mergeCell ref="H20:H21"/>
    <mergeCell ref="A20:A21"/>
    <mergeCell ref="C9:D9"/>
    <mergeCell ref="A10:A11"/>
    <mergeCell ref="B10:C11"/>
    <mergeCell ref="D10:D11"/>
    <mergeCell ref="E10:E11"/>
  </mergeCells>
  <phoneticPr fontId="22" type="noConversion"/>
  <printOptions horizontalCentered="1" verticalCentered="1"/>
  <pageMargins left="0.51181102362204722" right="0.51181102362204722" top="0.78740157480314965" bottom="0.78740157480314965" header="0.31496062992125984" footer="0.31496062992125984"/>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201"/>
  <sheetViews>
    <sheetView view="pageBreakPreview" zoomScale="55" zoomScaleNormal="10" zoomScaleSheetLayoutView="55" workbookViewId="0">
      <pane ySplit="8" topLeftCell="A2149" activePane="bottomLeft" state="frozen"/>
      <selection pane="bottomLeft" activeCell="A2190" sqref="A2190:M2201"/>
    </sheetView>
  </sheetViews>
  <sheetFormatPr defaultRowHeight="14.25"/>
  <cols>
    <col min="1" max="2" width="9.140625" style="36" customWidth="1"/>
    <col min="3" max="3" width="13.140625" style="36" customWidth="1"/>
    <col min="4" max="12" width="10.85546875" style="36" customWidth="1"/>
    <col min="13" max="13" width="16.140625" style="36" bestFit="1" customWidth="1"/>
    <col min="14" max="16384" width="9.140625" style="36"/>
  </cols>
  <sheetData>
    <row r="1" spans="1:13" ht="58.5" customHeight="1">
      <c r="A1" s="397"/>
      <c r="B1" s="398"/>
      <c r="C1" s="399"/>
      <c r="D1" s="399"/>
      <c r="E1" s="399"/>
      <c r="F1" s="399"/>
      <c r="G1" s="399"/>
      <c r="H1" s="399"/>
      <c r="I1" s="399"/>
      <c r="J1" s="399"/>
      <c r="K1" s="399"/>
      <c r="L1" s="399"/>
      <c r="M1" s="399"/>
    </row>
    <row r="2" spans="1:13">
      <c r="A2" s="400" t="s">
        <v>55</v>
      </c>
      <c r="B2" s="400"/>
      <c r="C2" s="400"/>
      <c r="D2" s="400"/>
      <c r="E2" s="400"/>
      <c r="F2" s="400"/>
      <c r="G2" s="400"/>
      <c r="H2" s="400"/>
      <c r="I2" s="400"/>
      <c r="J2" s="400"/>
      <c r="K2" s="400"/>
      <c r="L2" s="400"/>
      <c r="M2" s="400"/>
    </row>
    <row r="3" spans="1:13" ht="15">
      <c r="A3" s="401" t="str">
        <f>ORÇAMENTO!A3</f>
        <v>OBRA: PROJETO DE REFORMA E AMPLIAÇÃO DO NOVO PRONTO ATENDIMENTO DO MUNICÍPIO DE OURO FINO</v>
      </c>
      <c r="B3" s="401"/>
      <c r="C3" s="401"/>
      <c r="D3" s="401"/>
      <c r="E3" s="401"/>
      <c r="F3" s="401"/>
      <c r="G3" s="401"/>
      <c r="H3" s="401"/>
      <c r="I3" s="401"/>
      <c r="J3" s="401"/>
      <c r="K3" s="401"/>
      <c r="L3" s="184" t="str">
        <f>ORÇAMENTO!H3</f>
        <v>DATA:</v>
      </c>
      <c r="M3" s="183">
        <f>ORÇAMENTO!I3</f>
        <v>46003</v>
      </c>
    </row>
    <row r="4" spans="1:13" ht="15">
      <c r="A4" s="408" t="str">
        <f>ORÇAMENTO!A4</f>
        <v>LOCAL: RUA 13 MAIO, CENTRO, OURO FINO - MG</v>
      </c>
      <c r="B4" s="409"/>
      <c r="C4" s="409"/>
      <c r="D4" s="409"/>
      <c r="E4" s="409"/>
      <c r="F4" s="409"/>
      <c r="G4" s="409"/>
      <c r="H4" s="409"/>
      <c r="I4" s="409"/>
      <c r="J4" s="409"/>
      <c r="K4" s="410"/>
      <c r="L4" s="82" t="s">
        <v>13</v>
      </c>
      <c r="M4" s="82"/>
    </row>
    <row r="5" spans="1:13">
      <c r="A5" s="413" t="str">
        <f>ORÇAMENTO!A5</f>
        <v>REGIÃO/MÊS DE REF.: SETOP SUL/JULHO 2025 S/ DESONERAÇÃO / SINAPI 09-2025 NÃO DESONERADO</v>
      </c>
      <c r="B5" s="414"/>
      <c r="C5" s="414"/>
      <c r="D5" s="414"/>
      <c r="E5" s="414"/>
      <c r="F5" s="414"/>
      <c r="G5" s="414"/>
      <c r="H5" s="414"/>
      <c r="I5" s="414"/>
      <c r="J5" s="414"/>
      <c r="K5" s="415"/>
      <c r="L5" s="411" t="s">
        <v>4</v>
      </c>
      <c r="M5" s="412"/>
    </row>
    <row r="6" spans="1:13" ht="15" customHeight="1">
      <c r="A6" s="416" t="str">
        <f>ORÇAMENTO!A6</f>
        <v>PRAZO DE EXECUÇÃO: 6 MESES</v>
      </c>
      <c r="B6" s="417"/>
      <c r="C6" s="417"/>
      <c r="D6" s="417"/>
      <c r="E6" s="417"/>
      <c r="F6" s="417"/>
      <c r="G6" s="417"/>
      <c r="H6" s="417"/>
      <c r="I6" s="417"/>
      <c r="J6" s="417"/>
      <c r="K6" s="418"/>
      <c r="L6" s="8" t="s">
        <v>11</v>
      </c>
      <c r="M6" s="4">
        <f>ORÇAMENTO!I6</f>
        <v>0.2354</v>
      </c>
    </row>
    <row r="7" spans="1:13" s="10" customFormat="1" ht="15">
      <c r="A7" s="419" t="str">
        <f>ORÇAMENTO!A7</f>
        <v>VALOR ESTIMADO DA OBRA:</v>
      </c>
      <c r="B7" s="420"/>
      <c r="C7" s="421"/>
      <c r="D7" s="404">
        <f>ORÇAMENTO!D7</f>
        <v>786872.28</v>
      </c>
      <c r="E7" s="404"/>
      <c r="F7" s="404"/>
      <c r="G7" s="404"/>
      <c r="H7" s="404"/>
      <c r="I7" s="404"/>
      <c r="J7" s="404"/>
      <c r="K7" s="404"/>
      <c r="L7" s="404"/>
      <c r="M7" s="404"/>
    </row>
    <row r="8" spans="1:13" s="10" customFormat="1" ht="12.75">
      <c r="A8" s="405"/>
      <c r="B8" s="406"/>
      <c r="C8" s="406"/>
      <c r="D8" s="406"/>
      <c r="E8" s="406"/>
      <c r="F8" s="406"/>
      <c r="G8" s="406"/>
      <c r="H8" s="406"/>
      <c r="I8" s="406"/>
      <c r="J8" s="406"/>
      <c r="K8" s="406"/>
      <c r="L8" s="406"/>
      <c r="M8" s="407"/>
    </row>
    <row r="9" spans="1:13" s="10" customFormat="1" ht="18">
      <c r="A9" s="16" t="s">
        <v>54</v>
      </c>
      <c r="B9" s="83"/>
      <c r="C9" s="84" t="str">
        <f>ORÇAMENTO!B10</f>
        <v>SERVIÇOS PRELIMINARES</v>
      </c>
      <c r="D9" s="85"/>
      <c r="E9" s="85"/>
      <c r="F9" s="85"/>
      <c r="G9" s="85"/>
      <c r="H9" s="85"/>
      <c r="I9" s="85"/>
      <c r="J9" s="85"/>
      <c r="K9" s="85"/>
      <c r="L9" s="85"/>
      <c r="M9" s="37"/>
    </row>
    <row r="10" spans="1:13" s="10" customFormat="1" ht="12.75">
      <c r="A10" s="11"/>
      <c r="M10" s="12"/>
    </row>
    <row r="11" spans="1:13" s="10" customFormat="1" ht="49.5" customHeight="1">
      <c r="A11" s="38" t="str">
        <f>ORÇAMENTO!A11</f>
        <v>1.1</v>
      </c>
      <c r="B11" s="86"/>
      <c r="C11" s="388" t="str">
        <f>ORÇAMENTO!D11</f>
        <v>FORNECIMENTO E COLOCAÇÃO DE PLACA DE OBRA EM CHAPA GALVANIZADA #26, ESP. 0,45 MM, PLOTADA COM ADESIVO VINÍLICO, AFIXADA COM REBITES 4,8X40 MM, EM ESTRUTURA METÁLICA DE METALON 20X20 MM, ESP. 1,25 MM, INCLUSIVE SUPORTE EM EUCALIPTO AUTOCLAVADO PINTADO COM TINTA PVA DUAS (2) DEMÃOS</v>
      </c>
      <c r="D11" s="388"/>
      <c r="E11" s="388"/>
      <c r="F11" s="388"/>
      <c r="G11" s="388"/>
      <c r="H11" s="388"/>
      <c r="I11" s="388"/>
      <c r="J11" s="388"/>
      <c r="K11" s="388"/>
      <c r="L11" s="388"/>
      <c r="M11" s="47" t="str">
        <f>ORÇAMENTO!E11</f>
        <v>M2</v>
      </c>
    </row>
    <row r="12" spans="1:13" s="10" customFormat="1" ht="12.75">
      <c r="A12" s="5"/>
      <c r="M12" s="12"/>
    </row>
    <row r="13" spans="1:13" s="10" customFormat="1" ht="12.75">
      <c r="A13" s="5"/>
      <c r="B13" s="87" t="s">
        <v>52</v>
      </c>
      <c r="D13" s="88" t="s">
        <v>50</v>
      </c>
      <c r="E13" s="89">
        <v>1.5</v>
      </c>
      <c r="F13" s="90" t="s">
        <v>69</v>
      </c>
      <c r="G13" s="89">
        <v>3</v>
      </c>
      <c r="H13" s="422"/>
      <c r="I13" s="422"/>
      <c r="J13" s="92"/>
      <c r="K13" s="92"/>
      <c r="L13" s="93" t="s">
        <v>50</v>
      </c>
      <c r="M13" s="13">
        <f>E13*G13</f>
        <v>4.5</v>
      </c>
    </row>
    <row r="14" spans="1:13" s="10" customFormat="1" ht="12.75">
      <c r="A14" s="5"/>
      <c r="E14" s="39" t="s">
        <v>544</v>
      </c>
      <c r="G14" s="39" t="s">
        <v>264</v>
      </c>
      <c r="M14" s="12"/>
    </row>
    <row r="15" spans="1:13" s="10" customFormat="1" ht="12.75">
      <c r="A15" s="11"/>
      <c r="M15" s="12"/>
    </row>
    <row r="16" spans="1:13" s="161" customFormat="1" ht="12.75">
      <c r="A16" s="163"/>
      <c r="B16" s="161" t="s">
        <v>10</v>
      </c>
      <c r="L16" s="162" t="s">
        <v>50</v>
      </c>
      <c r="M16" s="46">
        <f>M13</f>
        <v>4.5</v>
      </c>
    </row>
    <row r="17" spans="1:13" s="10" customFormat="1" ht="12.75">
      <c r="A17" s="11"/>
      <c r="M17" s="12"/>
    </row>
    <row r="18" spans="1:13" s="10" customFormat="1" ht="25.5" customHeight="1">
      <c r="A18" s="38" t="str">
        <f>ORÇAMENTO!A12</f>
        <v>1.2</v>
      </c>
      <c r="B18" s="86"/>
      <c r="C18" s="388" t="str">
        <f>ORÇAMENTO!D12</f>
        <v>LOCACAO CONVENCIONAL DE OBRA, UTILIZANDO GABARITO DE TÁBUAS CORRIDAS PONTALETADAS A CADA 2,00M -  2 UTILIZAÇÕES. AF_10/2018</v>
      </c>
      <c r="D18" s="388"/>
      <c r="E18" s="388"/>
      <c r="F18" s="388"/>
      <c r="G18" s="388"/>
      <c r="H18" s="388"/>
      <c r="I18" s="388"/>
      <c r="J18" s="388"/>
      <c r="K18" s="388"/>
      <c r="L18" s="388"/>
      <c r="M18" s="47" t="str">
        <f>ORÇAMENTO!E12</f>
        <v>M</v>
      </c>
    </row>
    <row r="19" spans="1:13" s="10" customFormat="1" ht="12.75">
      <c r="A19" s="5"/>
      <c r="M19" s="12"/>
    </row>
    <row r="20" spans="1:13" s="10" customFormat="1" ht="12.75">
      <c r="A20" s="5"/>
      <c r="B20" s="87" t="s">
        <v>52</v>
      </c>
      <c r="D20" s="88" t="s">
        <v>50</v>
      </c>
      <c r="E20" s="89">
        <f>37.7501</f>
        <v>37.750100000000003</v>
      </c>
      <c r="F20" s="90"/>
      <c r="G20" s="91"/>
      <c r="I20" s="161" t="s">
        <v>545</v>
      </c>
      <c r="J20" s="92"/>
      <c r="K20" s="92"/>
      <c r="L20" s="93" t="s">
        <v>50</v>
      </c>
      <c r="M20" s="46">
        <f>E20</f>
        <v>37.750100000000003</v>
      </c>
    </row>
    <row r="21" spans="1:13" s="10" customFormat="1" ht="12.75">
      <c r="A21" s="5"/>
      <c r="B21" s="10" t="s">
        <v>615</v>
      </c>
      <c r="E21" s="39" t="s">
        <v>120</v>
      </c>
      <c r="G21" s="39"/>
      <c r="I21" s="161" t="s">
        <v>149</v>
      </c>
      <c r="M21" s="12"/>
    </row>
    <row r="22" spans="1:13" s="10" customFormat="1" ht="12.75">
      <c r="A22" s="5"/>
      <c r="E22" s="39"/>
      <c r="G22" s="39"/>
      <c r="M22" s="12"/>
    </row>
    <row r="23" spans="1:13" s="10" customFormat="1" ht="12.75">
      <c r="A23" s="212"/>
      <c r="B23" s="87" t="s">
        <v>52</v>
      </c>
      <c r="D23" s="88" t="s">
        <v>50</v>
      </c>
      <c r="E23" s="89">
        <v>64.678600000000003</v>
      </c>
      <c r="F23" s="213"/>
      <c r="G23" s="91"/>
      <c r="I23" s="161" t="s">
        <v>629</v>
      </c>
      <c r="J23" s="92"/>
      <c r="K23" s="92"/>
      <c r="L23" s="93" t="s">
        <v>50</v>
      </c>
      <c r="M23" s="46">
        <f>E23</f>
        <v>64.678600000000003</v>
      </c>
    </row>
    <row r="24" spans="1:13" s="10" customFormat="1" ht="12.75">
      <c r="A24" s="212"/>
      <c r="B24" s="10" t="s">
        <v>616</v>
      </c>
      <c r="E24" s="39" t="s">
        <v>120</v>
      </c>
      <c r="G24" s="39"/>
      <c r="I24" s="161" t="s">
        <v>149</v>
      </c>
      <c r="M24" s="12"/>
    </row>
    <row r="25" spans="1:13" s="10" customFormat="1" ht="12.75">
      <c r="A25" s="212"/>
      <c r="E25" s="39"/>
      <c r="G25" s="39"/>
      <c r="M25" s="12"/>
    </row>
    <row r="26" spans="1:13" s="161" customFormat="1" ht="12.75">
      <c r="A26" s="163"/>
      <c r="B26" s="161" t="s">
        <v>10</v>
      </c>
      <c r="L26" s="162" t="s">
        <v>50</v>
      </c>
      <c r="M26" s="46">
        <f>SUM(M20:M23)</f>
        <v>102.42870000000001</v>
      </c>
    </row>
    <row r="27" spans="1:13" s="10" customFormat="1" ht="12.75">
      <c r="A27" s="11"/>
      <c r="M27" s="12"/>
    </row>
    <row r="28" spans="1:13" s="10" customFormat="1" ht="37.5" customHeight="1">
      <c r="A28" s="38" t="str">
        <f>ORÇAMENTO!A13</f>
        <v>1.3</v>
      </c>
      <c r="B28" s="86"/>
      <c r="C28" s="388" t="str">
        <f>ORÇAMENTO!D13</f>
        <v>TAPUME FIXO DE PROTEÇÃO PARA FECHAMENTO DE OBRA EM TELHA METÁLICA GALVANIZADA, TIPO TRAPEZOIDAL, ESP. 0,5MM, COM MÓDULO NA DIMENSÃO DE (300X220)CM, COM REAPROVEITAMENTO, EXCLUSIVE PINTURA ESMALTE, INCLUSIVE PONTALETE E FIXAÇÃO</v>
      </c>
      <c r="D28" s="388"/>
      <c r="E28" s="388"/>
      <c r="F28" s="388"/>
      <c r="G28" s="388"/>
      <c r="H28" s="388"/>
      <c r="I28" s="388"/>
      <c r="J28" s="388"/>
      <c r="K28" s="388"/>
      <c r="L28" s="388"/>
      <c r="M28" s="47" t="str">
        <f>ORÇAMENTO!E13</f>
        <v>M2</v>
      </c>
    </row>
    <row r="29" spans="1:13" s="10" customFormat="1" ht="12.75">
      <c r="A29" s="5"/>
      <c r="M29" s="12"/>
    </row>
    <row r="30" spans="1:13" s="10" customFormat="1" ht="12.75">
      <c r="A30" s="5"/>
      <c r="B30" s="87" t="s">
        <v>52</v>
      </c>
      <c r="D30" s="88" t="s">
        <v>50</v>
      </c>
      <c r="E30" s="89">
        <v>30.7</v>
      </c>
      <c r="F30" s="90" t="s">
        <v>69</v>
      </c>
      <c r="G30" s="89">
        <v>2.2000000000000002</v>
      </c>
      <c r="I30" s="161" t="s">
        <v>545</v>
      </c>
      <c r="J30" s="92"/>
      <c r="K30" s="92"/>
      <c r="L30" s="93" t="s">
        <v>50</v>
      </c>
      <c r="M30" s="46">
        <f>E30*G30</f>
        <v>67.540000000000006</v>
      </c>
    </row>
    <row r="31" spans="1:13" s="10" customFormat="1" ht="12.75">
      <c r="A31" s="5"/>
      <c r="B31" s="10" t="s">
        <v>615</v>
      </c>
      <c r="E31" s="39" t="s">
        <v>120</v>
      </c>
      <c r="G31" s="39" t="s">
        <v>264</v>
      </c>
      <c r="I31" s="161" t="s">
        <v>149</v>
      </c>
      <c r="M31" s="12"/>
    </row>
    <row r="32" spans="1:13" s="10" customFormat="1" ht="12.75">
      <c r="A32" s="5"/>
      <c r="E32" s="39"/>
      <c r="G32" s="39"/>
      <c r="M32" s="12"/>
    </row>
    <row r="33" spans="1:13" s="10" customFormat="1" ht="12.75">
      <c r="A33" s="212"/>
      <c r="B33" s="87" t="s">
        <v>52</v>
      </c>
      <c r="D33" s="88" t="s">
        <v>50</v>
      </c>
      <c r="E33" s="89">
        <v>11.730399999999999</v>
      </c>
      <c r="F33" s="213" t="s">
        <v>69</v>
      </c>
      <c r="G33" s="89">
        <v>2.2000000000000002</v>
      </c>
      <c r="I33" s="161" t="s">
        <v>629</v>
      </c>
      <c r="J33" s="92"/>
      <c r="K33" s="92"/>
      <c r="L33" s="93" t="s">
        <v>50</v>
      </c>
      <c r="M33" s="46">
        <f>E33*G33</f>
        <v>25.80688</v>
      </c>
    </row>
    <row r="34" spans="1:13" s="10" customFormat="1" ht="12.75">
      <c r="A34" s="212"/>
      <c r="B34" s="10" t="s">
        <v>616</v>
      </c>
      <c r="E34" s="39" t="s">
        <v>120</v>
      </c>
      <c r="G34" s="39" t="s">
        <v>264</v>
      </c>
      <c r="I34" s="161" t="s">
        <v>149</v>
      </c>
      <c r="M34" s="12"/>
    </row>
    <row r="35" spans="1:13" s="10" customFormat="1" ht="12.75">
      <c r="A35" s="212"/>
      <c r="E35" s="39"/>
      <c r="G35" s="39"/>
      <c r="M35" s="12"/>
    </row>
    <row r="36" spans="1:13" s="161" customFormat="1" ht="12.75">
      <c r="A36" s="163"/>
      <c r="B36" s="161" t="s">
        <v>10</v>
      </c>
      <c r="L36" s="162" t="s">
        <v>50</v>
      </c>
      <c r="M36" s="46">
        <f>SUM(M30:M33)</f>
        <v>93.346879999999999</v>
      </c>
    </row>
    <row r="37" spans="1:13" s="10" customFormat="1" ht="12.75">
      <c r="A37" s="11"/>
      <c r="M37" s="12"/>
    </row>
    <row r="38" spans="1:13" s="10" customFormat="1" ht="25.5" customHeight="1">
      <c r="A38" s="38" t="str">
        <f>ORÇAMENTO!A14</f>
        <v>1.4</v>
      </c>
      <c r="B38" s="86"/>
      <c r="C38" s="388" t="str">
        <f>ORÇAMENTO!D14</f>
        <v>PORTÃO PARA TAPUME FIXO DE PROTEÇÃO COM FECHAMENTO DE OBRA EM CHAPA DE COMPENSADO, ESP. 12MM, COM MÓDULO NA DIMENSÃO DE (110X220)CM, INCLUSIVE FERRAGENS E PINTURA LÁTEX (PVA) COM DUAS (2) DEMÃOS</v>
      </c>
      <c r="D38" s="388"/>
      <c r="E38" s="388"/>
      <c r="F38" s="388"/>
      <c r="G38" s="388"/>
      <c r="H38" s="388"/>
      <c r="I38" s="388"/>
      <c r="J38" s="388"/>
      <c r="K38" s="388"/>
      <c r="L38" s="388"/>
      <c r="M38" s="47" t="str">
        <f>ORÇAMENTO!E14</f>
        <v>M2</v>
      </c>
    </row>
    <row r="39" spans="1:13" s="10" customFormat="1" ht="12.75">
      <c r="A39" s="5"/>
      <c r="M39" s="12"/>
    </row>
    <row r="40" spans="1:13" s="10" customFormat="1" ht="12.75">
      <c r="A40" s="5"/>
      <c r="B40" s="87" t="s">
        <v>52</v>
      </c>
      <c r="D40" s="88" t="s">
        <v>50</v>
      </c>
      <c r="E40" s="89">
        <v>2</v>
      </c>
      <c r="F40" s="90" t="s">
        <v>69</v>
      </c>
      <c r="G40" s="89">
        <v>2.2000000000000002</v>
      </c>
      <c r="I40" s="161" t="s">
        <v>545</v>
      </c>
      <c r="J40" s="92"/>
      <c r="K40" s="92"/>
      <c r="L40" s="93" t="s">
        <v>50</v>
      </c>
      <c r="M40" s="46">
        <f>E40*G40</f>
        <v>4.4000000000000004</v>
      </c>
    </row>
    <row r="41" spans="1:13" s="10" customFormat="1" ht="12.75">
      <c r="A41" s="5"/>
      <c r="B41" s="10" t="s">
        <v>615</v>
      </c>
      <c r="E41" s="39" t="s">
        <v>120</v>
      </c>
      <c r="G41" s="39" t="s">
        <v>264</v>
      </c>
      <c r="I41" s="161" t="s">
        <v>149</v>
      </c>
      <c r="M41" s="12"/>
    </row>
    <row r="42" spans="1:13" s="10" customFormat="1" ht="12.75">
      <c r="A42" s="5"/>
      <c r="E42" s="39"/>
      <c r="G42" s="39"/>
      <c r="M42" s="12"/>
    </row>
    <row r="43" spans="1:13" s="10" customFormat="1" ht="12.75">
      <c r="A43" s="212"/>
      <c r="B43" s="87" t="s">
        <v>52</v>
      </c>
      <c r="D43" s="88" t="s">
        <v>50</v>
      </c>
      <c r="E43" s="89">
        <v>2</v>
      </c>
      <c r="F43" s="213" t="s">
        <v>69</v>
      </c>
      <c r="G43" s="89">
        <v>2.2000000000000002</v>
      </c>
      <c r="I43" s="161" t="s">
        <v>629</v>
      </c>
      <c r="J43" s="92"/>
      <c r="K43" s="92"/>
      <c r="L43" s="93" t="s">
        <v>50</v>
      </c>
      <c r="M43" s="46">
        <f>E43*G43</f>
        <v>4.4000000000000004</v>
      </c>
    </row>
    <row r="44" spans="1:13" s="10" customFormat="1" ht="12.75">
      <c r="A44" s="212"/>
      <c r="B44" s="10" t="s">
        <v>616</v>
      </c>
      <c r="E44" s="39" t="s">
        <v>120</v>
      </c>
      <c r="G44" s="39" t="s">
        <v>264</v>
      </c>
      <c r="I44" s="161" t="s">
        <v>149</v>
      </c>
      <c r="M44" s="12"/>
    </row>
    <row r="45" spans="1:13" s="10" customFormat="1" ht="12.75">
      <c r="A45" s="212"/>
      <c r="E45" s="39"/>
      <c r="G45" s="39"/>
      <c r="M45" s="12"/>
    </row>
    <row r="46" spans="1:13" s="161" customFormat="1" ht="12.75">
      <c r="A46" s="163"/>
      <c r="B46" s="161" t="s">
        <v>10</v>
      </c>
      <c r="L46" s="162" t="s">
        <v>50</v>
      </c>
      <c r="M46" s="46">
        <f>SUM(M40:M43)</f>
        <v>8.8000000000000007</v>
      </c>
    </row>
    <row r="47" spans="1:13" s="10" customFormat="1" ht="12.75">
      <c r="A47" s="11"/>
      <c r="M47" s="12"/>
    </row>
    <row r="48" spans="1:13" s="10" customFormat="1" ht="15">
      <c r="A48" s="16" t="str">
        <f>ORÇAMENTO!A16</f>
        <v>2.</v>
      </c>
      <c r="B48" s="85"/>
      <c r="C48" s="386" t="str">
        <f>ORÇAMENTO!B16</f>
        <v>MOVIMENTAÇÃO DE TERRA</v>
      </c>
      <c r="D48" s="386"/>
      <c r="E48" s="386"/>
      <c r="F48" s="386"/>
      <c r="G48" s="386"/>
      <c r="H48" s="386"/>
      <c r="I48" s="386"/>
      <c r="J48" s="386"/>
      <c r="K48" s="386"/>
      <c r="L48" s="386"/>
      <c r="M48" s="387"/>
    </row>
    <row r="49" spans="1:13" s="10" customFormat="1" ht="12.75">
      <c r="A49" s="5"/>
      <c r="F49" s="81"/>
      <c r="L49" s="93"/>
      <c r="M49" s="14"/>
    </row>
    <row r="50" spans="1:13" s="10" customFormat="1" ht="26.25" customHeight="1">
      <c r="A50" s="38" t="str">
        <f>ORÇAMENTO!A17</f>
        <v>2.1</v>
      </c>
      <c r="B50" s="86"/>
      <c r="C50" s="388" t="str">
        <f>ORÇAMENTO!D17</f>
        <v>ESCAVAÇÃO MANUAL DE VALA COM PROFUNDIDADE MENOR OU IGUAL A 1,5M, INCLUSIVE DESCARGA LATERAL</v>
      </c>
      <c r="D50" s="388"/>
      <c r="E50" s="388"/>
      <c r="F50" s="388"/>
      <c r="G50" s="388"/>
      <c r="H50" s="388"/>
      <c r="I50" s="388"/>
      <c r="J50" s="388"/>
      <c r="K50" s="388"/>
      <c r="L50" s="388"/>
      <c r="M50" s="47" t="str">
        <f>ORÇAMENTO!E17</f>
        <v>M3</v>
      </c>
    </row>
    <row r="51" spans="1:13" s="10" customFormat="1" ht="12.75">
      <c r="A51" s="5"/>
      <c r="M51" s="12"/>
    </row>
    <row r="52" spans="1:13" s="10" customFormat="1">
      <c r="A52" s="5"/>
      <c r="B52" s="10" t="s">
        <v>546</v>
      </c>
      <c r="D52" s="88" t="s">
        <v>50</v>
      </c>
      <c r="E52" s="89">
        <f>1.36*0.45</f>
        <v>0.6120000000000001</v>
      </c>
      <c r="F52" s="95" t="s">
        <v>69</v>
      </c>
      <c r="G52" s="89">
        <v>2</v>
      </c>
      <c r="I52" s="165" t="s">
        <v>545</v>
      </c>
      <c r="J52" s="92"/>
      <c r="K52" s="92"/>
      <c r="L52" s="93" t="s">
        <v>50</v>
      </c>
      <c r="M52" s="13">
        <f>E52*G52</f>
        <v>1.2240000000000002</v>
      </c>
    </row>
    <row r="53" spans="1:13" s="10" customFormat="1">
      <c r="A53" s="5"/>
      <c r="B53" s="10" t="s">
        <v>615</v>
      </c>
      <c r="E53" s="99" t="s">
        <v>131</v>
      </c>
      <c r="F53" s="6"/>
      <c r="G53" s="99" t="s">
        <v>380</v>
      </c>
      <c r="I53" s="165" t="s">
        <v>81</v>
      </c>
      <c r="M53" s="12"/>
    </row>
    <row r="54" spans="1:13" s="10" customFormat="1">
      <c r="A54" s="5"/>
      <c r="E54" s="99"/>
      <c r="F54" s="6"/>
      <c r="M54" s="12"/>
    </row>
    <row r="55" spans="1:13" s="10" customFormat="1">
      <c r="A55" s="5"/>
      <c r="B55" s="10" t="s">
        <v>547</v>
      </c>
      <c r="D55" s="88" t="s">
        <v>50</v>
      </c>
      <c r="E55" s="89">
        <f>1.36*0.5</f>
        <v>0.68</v>
      </c>
      <c r="F55" s="95" t="s">
        <v>69</v>
      </c>
      <c r="G55" s="89">
        <v>4</v>
      </c>
      <c r="I55" s="165" t="s">
        <v>545</v>
      </c>
      <c r="J55" s="92"/>
      <c r="K55" s="92"/>
      <c r="L55" s="93" t="s">
        <v>50</v>
      </c>
      <c r="M55" s="13">
        <f>E55*G55</f>
        <v>2.72</v>
      </c>
    </row>
    <row r="56" spans="1:13" s="10" customFormat="1">
      <c r="A56" s="5"/>
      <c r="B56" s="10" t="s">
        <v>615</v>
      </c>
      <c r="E56" s="99" t="s">
        <v>131</v>
      </c>
      <c r="F56" s="6"/>
      <c r="G56" s="99" t="s">
        <v>380</v>
      </c>
      <c r="I56" s="165" t="s">
        <v>81</v>
      </c>
      <c r="M56" s="12"/>
    </row>
    <row r="57" spans="1:13" s="10" customFormat="1">
      <c r="A57" s="5"/>
      <c r="E57" s="99"/>
      <c r="F57" s="6"/>
      <c r="M57" s="12"/>
    </row>
    <row r="58" spans="1:13" s="10" customFormat="1">
      <c r="A58" s="212"/>
      <c r="B58" s="10" t="s">
        <v>547</v>
      </c>
      <c r="D58" s="88" t="s">
        <v>50</v>
      </c>
      <c r="E58" s="89">
        <f>1.36*0.5</f>
        <v>0.68</v>
      </c>
      <c r="F58" s="95" t="s">
        <v>69</v>
      </c>
      <c r="G58" s="89">
        <v>8</v>
      </c>
      <c r="I58" s="161" t="s">
        <v>629</v>
      </c>
      <c r="J58" s="92"/>
      <c r="K58" s="92"/>
      <c r="L58" s="93" t="s">
        <v>50</v>
      </c>
      <c r="M58" s="13">
        <f>E58*G58</f>
        <v>5.44</v>
      </c>
    </row>
    <row r="59" spans="1:13" s="10" customFormat="1">
      <c r="A59" s="212"/>
      <c r="B59" s="10" t="s">
        <v>616</v>
      </c>
      <c r="E59" s="99" t="s">
        <v>131</v>
      </c>
      <c r="F59" s="6"/>
      <c r="G59" s="99" t="s">
        <v>380</v>
      </c>
      <c r="I59" s="165" t="s">
        <v>81</v>
      </c>
      <c r="M59" s="12"/>
    </row>
    <row r="60" spans="1:13" s="10" customFormat="1">
      <c r="A60" s="212"/>
      <c r="E60" s="99"/>
      <c r="F60" s="6"/>
      <c r="M60" s="12"/>
    </row>
    <row r="61" spans="1:13" s="10" customFormat="1">
      <c r="A61" s="5"/>
      <c r="B61" s="10" t="s">
        <v>619</v>
      </c>
      <c r="D61" s="88" t="s">
        <v>50</v>
      </c>
      <c r="E61" s="89">
        <f>1.9975*0.8</f>
        <v>1.5980000000000001</v>
      </c>
      <c r="F61" s="95" t="s">
        <v>69</v>
      </c>
      <c r="G61" s="89">
        <v>1</v>
      </c>
      <c r="I61" s="165" t="s">
        <v>545</v>
      </c>
      <c r="J61" s="92"/>
      <c r="K61" s="92"/>
      <c r="L61" s="93" t="s">
        <v>50</v>
      </c>
      <c r="M61" s="13">
        <f>E61*G61</f>
        <v>1.5980000000000001</v>
      </c>
    </row>
    <row r="62" spans="1:13" s="10" customFormat="1">
      <c r="A62" s="5"/>
      <c r="B62" s="10" t="s">
        <v>615</v>
      </c>
      <c r="E62" s="99" t="s">
        <v>131</v>
      </c>
      <c r="F62" s="6"/>
      <c r="G62" s="99" t="s">
        <v>380</v>
      </c>
      <c r="I62" s="165" t="s">
        <v>81</v>
      </c>
      <c r="M62" s="12"/>
    </row>
    <row r="63" spans="1:13" s="10" customFormat="1">
      <c r="A63" s="5"/>
      <c r="E63" s="99"/>
      <c r="F63" s="6"/>
      <c r="M63" s="12"/>
    </row>
    <row r="64" spans="1:13" s="10" customFormat="1">
      <c r="A64" s="212"/>
      <c r="B64" s="10" t="s">
        <v>620</v>
      </c>
      <c r="D64" s="88" t="s">
        <v>50</v>
      </c>
      <c r="E64" s="89">
        <f>1.8255*0.55</f>
        <v>1.0040249999999999</v>
      </c>
      <c r="F64" s="95" t="s">
        <v>69</v>
      </c>
      <c r="G64" s="89">
        <v>1</v>
      </c>
      <c r="I64" s="161" t="s">
        <v>629</v>
      </c>
      <c r="J64" s="92"/>
      <c r="K64" s="92"/>
      <c r="L64" s="93" t="s">
        <v>50</v>
      </c>
      <c r="M64" s="13">
        <f>E64*G64</f>
        <v>1.0040249999999999</v>
      </c>
    </row>
    <row r="65" spans="1:13" s="10" customFormat="1">
      <c r="A65" s="212"/>
      <c r="B65" s="10" t="s">
        <v>616</v>
      </c>
      <c r="E65" s="99" t="s">
        <v>131</v>
      </c>
      <c r="F65" s="6"/>
      <c r="G65" s="99" t="s">
        <v>380</v>
      </c>
      <c r="I65" s="165" t="s">
        <v>81</v>
      </c>
      <c r="M65" s="12"/>
    </row>
    <row r="66" spans="1:13" s="10" customFormat="1">
      <c r="A66" s="212"/>
      <c r="E66" s="99"/>
      <c r="F66" s="6"/>
      <c r="M66" s="12"/>
    </row>
    <row r="67" spans="1:13" s="10" customFormat="1">
      <c r="A67" s="212"/>
      <c r="B67" s="10" t="s">
        <v>617</v>
      </c>
      <c r="D67" s="88" t="s">
        <v>50</v>
      </c>
      <c r="E67" s="89">
        <f>0.7225*0.5</f>
        <v>0.36125000000000002</v>
      </c>
      <c r="F67" s="95" t="s">
        <v>69</v>
      </c>
      <c r="G67" s="89">
        <v>4</v>
      </c>
      <c r="I67" s="161" t="s">
        <v>629</v>
      </c>
      <c r="J67" s="92"/>
      <c r="K67" s="92"/>
      <c r="L67" s="93" t="s">
        <v>50</v>
      </c>
      <c r="M67" s="13">
        <f>E67*G67</f>
        <v>1.4450000000000001</v>
      </c>
    </row>
    <row r="68" spans="1:13" s="10" customFormat="1">
      <c r="A68" s="212"/>
      <c r="B68" s="10" t="s">
        <v>616</v>
      </c>
      <c r="E68" s="99" t="s">
        <v>131</v>
      </c>
      <c r="F68" s="6"/>
      <c r="G68" s="99" t="s">
        <v>380</v>
      </c>
      <c r="I68" s="165" t="s">
        <v>81</v>
      </c>
      <c r="M68" s="12"/>
    </row>
    <row r="69" spans="1:13" s="10" customFormat="1">
      <c r="A69" s="212"/>
      <c r="E69" s="99"/>
      <c r="F69" s="6"/>
      <c r="M69" s="12"/>
    </row>
    <row r="70" spans="1:13" s="10" customFormat="1">
      <c r="A70" s="5"/>
      <c r="B70" s="10" t="s">
        <v>550</v>
      </c>
      <c r="D70" s="88" t="s">
        <v>50</v>
      </c>
      <c r="E70" s="89">
        <f>0.7225*0.55</f>
        <v>0.39737500000000003</v>
      </c>
      <c r="F70" s="95" t="s">
        <v>69</v>
      </c>
      <c r="G70" s="89">
        <v>1</v>
      </c>
      <c r="I70" s="165" t="s">
        <v>545</v>
      </c>
      <c r="J70" s="92"/>
      <c r="K70" s="92"/>
      <c r="L70" s="93" t="s">
        <v>50</v>
      </c>
      <c r="M70" s="13">
        <f>E70*G70</f>
        <v>0.39737500000000003</v>
      </c>
    </row>
    <row r="71" spans="1:13" s="10" customFormat="1">
      <c r="A71" s="5"/>
      <c r="B71" s="10" t="s">
        <v>615</v>
      </c>
      <c r="E71" s="99" t="s">
        <v>131</v>
      </c>
      <c r="F71" s="6"/>
      <c r="G71" s="99" t="s">
        <v>380</v>
      </c>
      <c r="I71" s="165" t="s">
        <v>81</v>
      </c>
      <c r="M71" s="12"/>
    </row>
    <row r="72" spans="1:13" s="10" customFormat="1">
      <c r="A72" s="5"/>
      <c r="E72" s="99"/>
      <c r="F72" s="6"/>
      <c r="M72" s="12"/>
    </row>
    <row r="73" spans="1:13" s="10" customFormat="1">
      <c r="A73" s="212"/>
      <c r="B73" s="10" t="s">
        <v>550</v>
      </c>
      <c r="D73" s="88" t="s">
        <v>50</v>
      </c>
      <c r="E73" s="89">
        <f>0.7225*0.55</f>
        <v>0.39737500000000003</v>
      </c>
      <c r="F73" s="95" t="s">
        <v>69</v>
      </c>
      <c r="G73" s="89">
        <v>8</v>
      </c>
      <c r="I73" s="161" t="s">
        <v>629</v>
      </c>
      <c r="J73" s="92"/>
      <c r="K73" s="92"/>
      <c r="L73" s="93" t="s">
        <v>50</v>
      </c>
      <c r="M73" s="13">
        <f>E73*G73</f>
        <v>3.1790000000000003</v>
      </c>
    </row>
    <row r="74" spans="1:13" s="10" customFormat="1">
      <c r="A74" s="212"/>
      <c r="B74" s="10" t="s">
        <v>616</v>
      </c>
      <c r="E74" s="99" t="s">
        <v>131</v>
      </c>
      <c r="F74" s="6"/>
      <c r="G74" s="99" t="s">
        <v>380</v>
      </c>
      <c r="I74" s="165" t="s">
        <v>81</v>
      </c>
      <c r="M74" s="12"/>
    </row>
    <row r="75" spans="1:13" s="10" customFormat="1">
      <c r="A75" s="212"/>
      <c r="E75" s="99"/>
      <c r="F75" s="6"/>
      <c r="M75" s="12"/>
    </row>
    <row r="76" spans="1:13" s="10" customFormat="1" ht="12.75">
      <c r="A76" s="5"/>
      <c r="B76" s="10" t="s">
        <v>191</v>
      </c>
      <c r="D76" s="88" t="s">
        <v>50</v>
      </c>
      <c r="E76" s="89">
        <f>28.3098+4.8099</f>
        <v>33.119700000000002</v>
      </c>
      <c r="F76" s="90" t="s">
        <v>69</v>
      </c>
      <c r="G76" s="89">
        <f>(0.15+0.2+0.15)*0.4</f>
        <v>0.2</v>
      </c>
      <c r="I76" s="165" t="s">
        <v>545</v>
      </c>
      <c r="J76" s="92"/>
      <c r="K76" s="92"/>
      <c r="L76" s="93" t="s">
        <v>50</v>
      </c>
      <c r="M76" s="13">
        <f>E76*G76</f>
        <v>6.623940000000001</v>
      </c>
    </row>
    <row r="77" spans="1:13" s="10" customFormat="1" ht="12.75">
      <c r="A77" s="5"/>
      <c r="B77" s="10" t="s">
        <v>615</v>
      </c>
      <c r="E77" s="99" t="s">
        <v>120</v>
      </c>
      <c r="G77" s="99" t="s">
        <v>438</v>
      </c>
      <c r="I77" s="165" t="s">
        <v>439</v>
      </c>
      <c r="M77" s="12"/>
    </row>
    <row r="78" spans="1:13" s="10" customFormat="1">
      <c r="A78" s="5"/>
      <c r="E78" s="99"/>
      <c r="F78" s="6"/>
      <c r="M78" s="12"/>
    </row>
    <row r="79" spans="1:13" s="10" customFormat="1" ht="12.75">
      <c r="A79" s="212"/>
      <c r="B79" s="10" t="s">
        <v>191</v>
      </c>
      <c r="D79" s="88" t="s">
        <v>50</v>
      </c>
      <c r="E79" s="89">
        <f>35.69+2.721+1.7346+5.1496+35.5095+11.808</f>
        <v>92.61269999999999</v>
      </c>
      <c r="F79" s="213" t="s">
        <v>69</v>
      </c>
      <c r="G79" s="89">
        <f>(0.15+0.2+0.15)*0.3</f>
        <v>0.15</v>
      </c>
      <c r="I79" s="161" t="s">
        <v>629</v>
      </c>
      <c r="J79" s="92"/>
      <c r="K79" s="92"/>
      <c r="L79" s="93" t="s">
        <v>50</v>
      </c>
      <c r="M79" s="13">
        <f>E79*G79</f>
        <v>13.891904999999998</v>
      </c>
    </row>
    <row r="80" spans="1:13" s="10" customFormat="1" ht="12.75">
      <c r="A80" s="212"/>
      <c r="B80" s="10" t="s">
        <v>616</v>
      </c>
      <c r="E80" s="99" t="s">
        <v>120</v>
      </c>
      <c r="G80" s="99" t="s">
        <v>621</v>
      </c>
      <c r="I80" s="165" t="s">
        <v>439</v>
      </c>
      <c r="M80" s="12"/>
    </row>
    <row r="81" spans="1:16" s="10" customFormat="1">
      <c r="A81" s="212"/>
      <c r="E81" s="99"/>
      <c r="F81" s="6"/>
      <c r="M81" s="12"/>
    </row>
    <row r="82" spans="1:16" s="161" customFormat="1" ht="12.75">
      <c r="A82" s="163"/>
      <c r="B82" s="161" t="s">
        <v>10</v>
      </c>
      <c r="L82" s="162" t="s">
        <v>50</v>
      </c>
      <c r="M82" s="46">
        <f>SUM(M52:M79)</f>
        <v>37.523245000000003</v>
      </c>
    </row>
    <row r="83" spans="1:16" s="10" customFormat="1" ht="12.75">
      <c r="A83" s="11"/>
      <c r="L83" s="93"/>
      <c r="M83" s="14"/>
    </row>
    <row r="84" spans="1:16" s="10" customFormat="1" ht="26.25" customHeight="1">
      <c r="A84" s="38" t="str">
        <f>ORÇAMENTO!A18</f>
        <v>2.2</v>
      </c>
      <c r="B84" s="86"/>
      <c r="C84" s="388" t="str">
        <f>ORÇAMENTO!D18</f>
        <v>REATERRO MANUAL DE VALA, INCLUSIVE ESPALHAMENTO E COMPACTAÇÃO MANUAL COM SOQUETE</v>
      </c>
      <c r="D84" s="388"/>
      <c r="E84" s="388"/>
      <c r="F84" s="388"/>
      <c r="G84" s="388"/>
      <c r="H84" s="388"/>
      <c r="I84" s="388"/>
      <c r="J84" s="388"/>
      <c r="K84" s="388"/>
      <c r="L84" s="388"/>
      <c r="M84" s="47" t="str">
        <f>ORÇAMENTO!E18</f>
        <v>M3</v>
      </c>
    </row>
    <row r="85" spans="1:16" s="10" customFormat="1" ht="12.75">
      <c r="A85" s="5"/>
      <c r="M85" s="12"/>
    </row>
    <row r="86" spans="1:16" s="10" customFormat="1" ht="12.75">
      <c r="A86" s="5"/>
      <c r="B86" s="87" t="s">
        <v>80</v>
      </c>
      <c r="D86" s="88" t="s">
        <v>50</v>
      </c>
      <c r="E86" s="89">
        <f>SUM(M52:M73)</f>
        <v>17.007400000000004</v>
      </c>
      <c r="F86" s="90" t="s">
        <v>68</v>
      </c>
      <c r="G86" s="89">
        <f>M181</f>
        <v>8.91</v>
      </c>
      <c r="I86" s="165" t="s">
        <v>551</v>
      </c>
      <c r="J86" s="92"/>
      <c r="K86" s="92"/>
      <c r="L86" s="93" t="s">
        <v>50</v>
      </c>
      <c r="M86" s="13">
        <f>E86-G86</f>
        <v>8.0974000000000039</v>
      </c>
    </row>
    <row r="87" spans="1:16" s="10" customFormat="1" ht="12.75">
      <c r="A87" s="5"/>
      <c r="B87" s="10" t="s">
        <v>618</v>
      </c>
      <c r="E87" s="39" t="s">
        <v>123</v>
      </c>
      <c r="G87" s="39" t="s">
        <v>82</v>
      </c>
      <c r="I87" s="165" t="s">
        <v>630</v>
      </c>
      <c r="M87" s="12"/>
    </row>
    <row r="88" spans="1:16" s="10" customFormat="1" ht="12.75">
      <c r="A88" s="5"/>
      <c r="B88" s="87"/>
      <c r="D88" s="88"/>
      <c r="E88" s="91"/>
      <c r="F88" s="90"/>
      <c r="G88" s="91"/>
      <c r="H88" s="90"/>
      <c r="I88" s="90"/>
      <c r="J88" s="92"/>
      <c r="K88" s="92"/>
      <c r="L88" s="93"/>
      <c r="M88" s="14"/>
    </row>
    <row r="89" spans="1:16" s="10" customFormat="1" ht="12.75">
      <c r="A89" s="5"/>
      <c r="B89" s="87" t="s">
        <v>72</v>
      </c>
      <c r="D89" s="88" t="s">
        <v>50</v>
      </c>
      <c r="E89" s="89">
        <f>SUM(M76:M79)</f>
        <v>20.515844999999999</v>
      </c>
      <c r="F89" s="90" t="s">
        <v>68</v>
      </c>
      <c r="G89" s="89">
        <f>M269</f>
        <v>8.89</v>
      </c>
      <c r="I89" s="165" t="s">
        <v>551</v>
      </c>
      <c r="J89" s="92"/>
      <c r="K89" s="92"/>
      <c r="L89" s="93" t="s">
        <v>50</v>
      </c>
      <c r="M89" s="13">
        <f>E89-G89</f>
        <v>11.625844999999998</v>
      </c>
    </row>
    <row r="90" spans="1:16" s="10" customFormat="1" ht="12.75">
      <c r="A90" s="5"/>
      <c r="B90" s="10" t="s">
        <v>618</v>
      </c>
      <c r="E90" s="39" t="s">
        <v>123</v>
      </c>
      <c r="G90" s="39" t="s">
        <v>73</v>
      </c>
      <c r="I90" s="165" t="s">
        <v>630</v>
      </c>
      <c r="M90" s="12"/>
    </row>
    <row r="91" spans="1:16" s="10" customFormat="1" ht="12.75">
      <c r="A91" s="11"/>
      <c r="M91" s="12"/>
    </row>
    <row r="92" spans="1:16" s="161" customFormat="1" ht="12.75">
      <c r="A92" s="163"/>
      <c r="B92" s="161" t="s">
        <v>10</v>
      </c>
      <c r="L92" s="162" t="s">
        <v>50</v>
      </c>
      <c r="M92" s="46">
        <f>SUM(M86:M89)</f>
        <v>19.723245000000002</v>
      </c>
      <c r="P92" s="100"/>
    </row>
    <row r="93" spans="1:16" s="10" customFormat="1" ht="12.75">
      <c r="A93" s="11"/>
      <c r="L93" s="93"/>
      <c r="M93" s="14"/>
    </row>
    <row r="94" spans="1:16" s="10" customFormat="1" ht="26.25" customHeight="1">
      <c r="A94" s="38" t="str">
        <f>ORÇAMENTO!A19</f>
        <v>2.3</v>
      </c>
      <c r="B94" s="86"/>
      <c r="C94" s="388" t="str">
        <f>ORÇAMENTO!D19</f>
        <v>TRANSPORTE DE MATERIAL DE QUALQUER NATUREZA EM CAMINHÃO, DISTÂNCIA MAIOR QUE 2KM E MENOR OU IGUAL A 5KM, DENTRO DO PERÍMETRO URBANO, EXCLUSIVE CARGA, INCLUSIVE DESCARGA</v>
      </c>
      <c r="D94" s="388"/>
      <c r="E94" s="388"/>
      <c r="F94" s="388"/>
      <c r="G94" s="388"/>
      <c r="H94" s="388"/>
      <c r="I94" s="388"/>
      <c r="J94" s="388"/>
      <c r="K94" s="388"/>
      <c r="L94" s="388"/>
      <c r="M94" s="47" t="str">
        <f>ORÇAMENTO!E19</f>
        <v>M3xKM</v>
      </c>
    </row>
    <row r="95" spans="1:16" s="10" customFormat="1" ht="12.75">
      <c r="A95" s="5"/>
      <c r="M95" s="12"/>
    </row>
    <row r="96" spans="1:16" s="10" customFormat="1">
      <c r="A96" s="11"/>
      <c r="B96" s="87" t="s">
        <v>440</v>
      </c>
      <c r="D96" s="88" t="s">
        <v>50</v>
      </c>
      <c r="E96" s="89">
        <f>(3.14*0.25^2)/4</f>
        <v>4.9062500000000002E-2</v>
      </c>
      <c r="F96" s="95" t="s">
        <v>69</v>
      </c>
      <c r="G96" s="89">
        <v>12</v>
      </c>
      <c r="H96" s="90" t="s">
        <v>69</v>
      </c>
      <c r="I96" s="89">
        <f>16+31</f>
        <v>47</v>
      </c>
      <c r="J96" s="90" t="s">
        <v>69</v>
      </c>
      <c r="K96" s="89">
        <v>2</v>
      </c>
      <c r="L96" s="93" t="s">
        <v>50</v>
      </c>
      <c r="M96" s="13">
        <f>E96*G96*I96*K96</f>
        <v>55.342500000000001</v>
      </c>
    </row>
    <row r="97" spans="1:13" s="10" customFormat="1">
      <c r="A97" s="11"/>
      <c r="B97" s="10" t="s">
        <v>618</v>
      </c>
      <c r="E97" s="39" t="s">
        <v>71</v>
      </c>
      <c r="F97" s="6"/>
      <c r="G97" s="39" t="s">
        <v>56</v>
      </c>
      <c r="I97" s="39" t="s">
        <v>52</v>
      </c>
      <c r="K97" s="39" t="s">
        <v>441</v>
      </c>
      <c r="M97" s="12"/>
    </row>
    <row r="98" spans="1:13" s="10" customFormat="1">
      <c r="A98" s="11"/>
      <c r="E98" s="39"/>
      <c r="F98" s="6"/>
      <c r="G98" s="39"/>
      <c r="M98" s="12"/>
    </row>
    <row r="99" spans="1:13" s="10" customFormat="1" ht="12.75">
      <c r="A99" s="5"/>
      <c r="B99" s="87" t="s">
        <v>226</v>
      </c>
      <c r="D99" s="88" t="s">
        <v>50</v>
      </c>
      <c r="E99" s="89">
        <f>M82-M92</f>
        <v>17.8</v>
      </c>
      <c r="F99" s="90" t="s">
        <v>69</v>
      </c>
      <c r="G99" s="89">
        <v>5</v>
      </c>
      <c r="I99" s="165" t="s">
        <v>551</v>
      </c>
      <c r="J99" s="92"/>
      <c r="K99" s="92"/>
      <c r="L99" s="93" t="s">
        <v>50</v>
      </c>
      <c r="M99" s="13">
        <f>E99*G99</f>
        <v>89</v>
      </c>
    </row>
    <row r="100" spans="1:13" s="10" customFormat="1" ht="12.75">
      <c r="A100" s="5"/>
      <c r="B100" s="10" t="s">
        <v>618</v>
      </c>
      <c r="E100" s="39" t="s">
        <v>272</v>
      </c>
      <c r="G100" s="39" t="s">
        <v>441</v>
      </c>
      <c r="I100" s="165" t="s">
        <v>630</v>
      </c>
      <c r="M100" s="12"/>
    </row>
    <row r="101" spans="1:13" s="10" customFormat="1" ht="12.75">
      <c r="A101" s="5"/>
      <c r="B101" s="87"/>
      <c r="D101" s="88"/>
      <c r="E101" s="91"/>
      <c r="F101" s="90"/>
      <c r="G101" s="91"/>
      <c r="H101" s="90"/>
      <c r="I101" s="161" t="s">
        <v>149</v>
      </c>
      <c r="J101" s="92"/>
      <c r="K101" s="92"/>
      <c r="L101" s="93"/>
      <c r="M101" s="14"/>
    </row>
    <row r="102" spans="1:13" s="10" customFormat="1">
      <c r="A102" s="11"/>
      <c r="B102" s="87" t="s">
        <v>875</v>
      </c>
      <c r="D102" s="88" t="s">
        <v>50</v>
      </c>
      <c r="E102" s="89">
        <f>$M$2013</f>
        <v>108.75959999999999</v>
      </c>
      <c r="F102" s="95" t="s">
        <v>69</v>
      </c>
      <c r="G102" s="89">
        <v>0.15</v>
      </c>
      <c r="H102" s="257" t="s">
        <v>69</v>
      </c>
      <c r="I102" s="89">
        <v>2</v>
      </c>
      <c r="J102" s="220"/>
      <c r="K102" s="221"/>
      <c r="L102" s="93" t="s">
        <v>50</v>
      </c>
      <c r="M102" s="13">
        <f>E102*G102*I102</f>
        <v>32.627879999999998</v>
      </c>
    </row>
    <row r="103" spans="1:13" s="10" customFormat="1">
      <c r="A103" s="11"/>
      <c r="B103" s="10" t="s">
        <v>618</v>
      </c>
      <c r="E103" s="39" t="s">
        <v>71</v>
      </c>
      <c r="F103" s="6"/>
      <c r="G103" s="39" t="s">
        <v>876</v>
      </c>
      <c r="I103" s="39" t="s">
        <v>441</v>
      </c>
      <c r="J103" s="222"/>
      <c r="K103" s="223"/>
      <c r="M103" s="12"/>
    </row>
    <row r="104" spans="1:13" s="10" customFormat="1">
      <c r="A104" s="11"/>
      <c r="E104" s="39"/>
      <c r="F104" s="6"/>
      <c r="G104" s="39"/>
      <c r="M104" s="12"/>
    </row>
    <row r="105" spans="1:13" s="10" customFormat="1">
      <c r="A105" s="11"/>
      <c r="B105" s="87" t="s">
        <v>877</v>
      </c>
      <c r="D105" s="88" t="s">
        <v>50</v>
      </c>
      <c r="E105" s="89">
        <f>M2138</f>
        <v>245.173</v>
      </c>
      <c r="F105" s="95" t="s">
        <v>69</v>
      </c>
      <c r="G105" s="89">
        <v>0.1</v>
      </c>
      <c r="H105" s="257" t="s">
        <v>69</v>
      </c>
      <c r="I105" s="89">
        <v>2</v>
      </c>
      <c r="J105" s="220"/>
      <c r="K105" s="221"/>
      <c r="L105" s="93" t="s">
        <v>50</v>
      </c>
      <c r="M105" s="13">
        <f>E105*G105*I105</f>
        <v>49.034600000000005</v>
      </c>
    </row>
    <row r="106" spans="1:13" s="10" customFormat="1">
      <c r="A106" s="11"/>
      <c r="B106" s="10" t="s">
        <v>618</v>
      </c>
      <c r="E106" s="39" t="s">
        <v>71</v>
      </c>
      <c r="F106" s="6"/>
      <c r="G106" s="39" t="s">
        <v>876</v>
      </c>
      <c r="I106" s="39" t="s">
        <v>441</v>
      </c>
      <c r="J106" s="222"/>
      <c r="K106" s="223"/>
      <c r="M106" s="12"/>
    </row>
    <row r="107" spans="1:13" s="10" customFormat="1">
      <c r="A107" s="11"/>
      <c r="E107" s="39"/>
      <c r="F107" s="6"/>
      <c r="G107" s="39"/>
      <c r="M107" s="12"/>
    </row>
    <row r="108" spans="1:13" s="161" customFormat="1" ht="12.75">
      <c r="A108" s="163"/>
      <c r="B108" s="161" t="s">
        <v>10</v>
      </c>
      <c r="L108" s="162" t="s">
        <v>50</v>
      </c>
      <c r="M108" s="46">
        <f>SUM(M96:M105)</f>
        <v>226.00498000000002</v>
      </c>
    </row>
    <row r="109" spans="1:13" s="10" customFormat="1" ht="12.75">
      <c r="A109" s="11"/>
      <c r="L109" s="93"/>
      <c r="M109" s="14"/>
    </row>
    <row r="110" spans="1:13" s="10" customFormat="1" ht="26.25" customHeight="1">
      <c r="A110" s="38" t="str">
        <f>ORÇAMENTO!A20</f>
        <v>2.4</v>
      </c>
      <c r="B110" s="86"/>
      <c r="C110" s="388" t="str">
        <f>ORÇAMENTO!D20</f>
        <v>CARGA MECÂNICA DE MATERIAL DE QUALQUER NATUREZA SOBRE CAMINHÃO, EXCLUSIVE TRANSPORTE</v>
      </c>
      <c r="D110" s="388"/>
      <c r="E110" s="388"/>
      <c r="F110" s="388"/>
      <c r="G110" s="388"/>
      <c r="H110" s="388"/>
      <c r="I110" s="388"/>
      <c r="J110" s="388"/>
      <c r="K110" s="388"/>
      <c r="L110" s="388"/>
      <c r="M110" s="47" t="str">
        <f>ORÇAMENTO!E20</f>
        <v>M3</v>
      </c>
    </row>
    <row r="111" spans="1:13" s="10" customFormat="1" ht="12.75">
      <c r="A111" s="5"/>
      <c r="M111" s="12"/>
    </row>
    <row r="112" spans="1:13" s="10" customFormat="1">
      <c r="A112" s="11"/>
      <c r="B112" s="87" t="s">
        <v>440</v>
      </c>
      <c r="D112" s="88" t="s">
        <v>50</v>
      </c>
      <c r="E112" s="89">
        <f>(3.14*0.25^2)/4</f>
        <v>4.9062500000000002E-2</v>
      </c>
      <c r="F112" s="95" t="s">
        <v>69</v>
      </c>
      <c r="G112" s="89">
        <v>12</v>
      </c>
      <c r="H112" s="90" t="s">
        <v>69</v>
      </c>
      <c r="I112" s="89">
        <f>16+31</f>
        <v>47</v>
      </c>
      <c r="J112" s="90"/>
      <c r="K112" s="91"/>
      <c r="L112" s="93" t="s">
        <v>50</v>
      </c>
      <c r="M112" s="14">
        <f>E112*G112*I112</f>
        <v>27.671250000000001</v>
      </c>
    </row>
    <row r="113" spans="1:13" s="10" customFormat="1">
      <c r="A113" s="11"/>
      <c r="B113" s="10" t="s">
        <v>618</v>
      </c>
      <c r="E113" s="39" t="s">
        <v>71</v>
      </c>
      <c r="F113" s="6"/>
      <c r="G113" s="39" t="s">
        <v>56</v>
      </c>
      <c r="I113" s="39" t="s">
        <v>52</v>
      </c>
      <c r="K113" s="39"/>
      <c r="M113" s="12"/>
    </row>
    <row r="114" spans="1:13" s="10" customFormat="1">
      <c r="A114" s="11"/>
      <c r="E114" s="39"/>
      <c r="F114" s="6"/>
      <c r="G114" s="39"/>
      <c r="M114" s="12"/>
    </row>
    <row r="115" spans="1:13" s="10" customFormat="1" ht="12.75">
      <c r="A115" s="5"/>
      <c r="B115" s="87" t="s">
        <v>226</v>
      </c>
      <c r="D115" s="88" t="s">
        <v>50</v>
      </c>
      <c r="E115" s="89">
        <f>M82-M92</f>
        <v>17.8</v>
      </c>
      <c r="F115" s="90"/>
      <c r="G115" s="91"/>
      <c r="I115" s="165" t="s">
        <v>551</v>
      </c>
      <c r="J115" s="92"/>
      <c r="K115" s="92"/>
      <c r="L115" s="93" t="s">
        <v>50</v>
      </c>
      <c r="M115" s="13">
        <f>E115</f>
        <v>17.8</v>
      </c>
    </row>
    <row r="116" spans="1:13" s="10" customFormat="1" ht="12.75">
      <c r="A116" s="5"/>
      <c r="B116" s="10" t="s">
        <v>618</v>
      </c>
      <c r="E116" s="39" t="s">
        <v>272</v>
      </c>
      <c r="G116" s="39"/>
      <c r="I116" s="165" t="s">
        <v>630</v>
      </c>
      <c r="M116" s="12"/>
    </row>
    <row r="117" spans="1:13" s="10" customFormat="1" ht="12.75">
      <c r="A117" s="5"/>
      <c r="B117" s="87"/>
      <c r="D117" s="88"/>
      <c r="E117" s="91"/>
      <c r="F117" s="90"/>
      <c r="G117" s="91"/>
      <c r="H117" s="90"/>
      <c r="I117" s="161" t="s">
        <v>149</v>
      </c>
      <c r="J117" s="92"/>
      <c r="K117" s="92"/>
      <c r="L117" s="93"/>
      <c r="M117" s="14"/>
    </row>
    <row r="118" spans="1:13" s="10" customFormat="1">
      <c r="A118" s="11"/>
      <c r="B118" s="87" t="s">
        <v>875</v>
      </c>
      <c r="D118" s="88" t="s">
        <v>50</v>
      </c>
      <c r="E118" s="89">
        <f>$M$2013</f>
        <v>108.75959999999999</v>
      </c>
      <c r="F118" s="95" t="s">
        <v>69</v>
      </c>
      <c r="G118" s="89">
        <v>0.15</v>
      </c>
      <c r="H118" s="220"/>
      <c r="I118" s="221"/>
      <c r="J118" s="220"/>
      <c r="K118" s="221"/>
      <c r="L118" s="93" t="s">
        <v>50</v>
      </c>
      <c r="M118" s="13">
        <f>E118*G118</f>
        <v>16.313939999999999</v>
      </c>
    </row>
    <row r="119" spans="1:13" s="10" customFormat="1">
      <c r="A119" s="11"/>
      <c r="B119" s="10" t="s">
        <v>618</v>
      </c>
      <c r="E119" s="39" t="s">
        <v>71</v>
      </c>
      <c r="F119" s="6"/>
      <c r="G119" s="39" t="s">
        <v>876</v>
      </c>
      <c r="H119" s="222"/>
      <c r="I119" s="223"/>
      <c r="J119" s="222"/>
      <c r="K119" s="223"/>
      <c r="M119" s="12"/>
    </row>
    <row r="120" spans="1:13" s="10" customFormat="1">
      <c r="A120" s="11"/>
      <c r="E120" s="39"/>
      <c r="F120" s="6"/>
      <c r="G120" s="39"/>
      <c r="M120" s="12"/>
    </row>
    <row r="121" spans="1:13" s="10" customFormat="1">
      <c r="A121" s="11"/>
      <c r="B121" s="87" t="s">
        <v>877</v>
      </c>
      <c r="D121" s="88" t="s">
        <v>50</v>
      </c>
      <c r="E121" s="89">
        <f>M2138</f>
        <v>245.173</v>
      </c>
      <c r="F121" s="95" t="s">
        <v>69</v>
      </c>
      <c r="G121" s="89">
        <v>0.1</v>
      </c>
      <c r="H121" s="220"/>
      <c r="I121" s="221"/>
      <c r="J121" s="220"/>
      <c r="K121" s="221"/>
      <c r="L121" s="93" t="s">
        <v>50</v>
      </c>
      <c r="M121" s="13">
        <f>E121*G121</f>
        <v>24.517300000000002</v>
      </c>
    </row>
    <row r="122" spans="1:13" s="10" customFormat="1">
      <c r="A122" s="11"/>
      <c r="B122" s="10" t="s">
        <v>618</v>
      </c>
      <c r="E122" s="39" t="s">
        <v>71</v>
      </c>
      <c r="F122" s="6"/>
      <c r="G122" s="39" t="s">
        <v>876</v>
      </c>
      <c r="H122" s="222"/>
      <c r="I122" s="223"/>
      <c r="J122" s="222"/>
      <c r="K122" s="223"/>
      <c r="M122" s="12"/>
    </row>
    <row r="123" spans="1:13" s="10" customFormat="1">
      <c r="A123" s="11"/>
      <c r="E123" s="39"/>
      <c r="F123" s="6"/>
      <c r="G123" s="39"/>
      <c r="M123" s="12"/>
    </row>
    <row r="124" spans="1:13" s="161" customFormat="1" ht="12.75">
      <c r="A124" s="163"/>
      <c r="B124" s="161" t="s">
        <v>10</v>
      </c>
      <c r="L124" s="162" t="s">
        <v>50</v>
      </c>
      <c r="M124" s="46">
        <f>SUM(M112:M121)</f>
        <v>86.302490000000006</v>
      </c>
    </row>
    <row r="125" spans="1:13" s="10" customFormat="1" ht="12.75">
      <c r="A125" s="11"/>
      <c r="L125" s="93"/>
      <c r="M125" s="14"/>
    </row>
    <row r="126" spans="1:13" s="10" customFormat="1" ht="15">
      <c r="A126" s="16" t="str">
        <f>ORÇAMENTO!A22</f>
        <v>3.</v>
      </c>
      <c r="B126" s="85"/>
      <c r="C126" s="384" t="str">
        <f>ORÇAMENTO!B22</f>
        <v>INFRAESTRUTURA</v>
      </c>
      <c r="D126" s="384"/>
      <c r="E126" s="384"/>
      <c r="F126" s="384"/>
      <c r="G126" s="384"/>
      <c r="H126" s="384"/>
      <c r="I126" s="384"/>
      <c r="J126" s="384"/>
      <c r="K126" s="384"/>
      <c r="L126" s="384"/>
      <c r="M126" s="385"/>
    </row>
    <row r="127" spans="1:13" s="10" customFormat="1" ht="12.75">
      <c r="A127" s="11"/>
      <c r="M127" s="12"/>
    </row>
    <row r="128" spans="1:13" s="10" customFormat="1" ht="13.5" customHeight="1">
      <c r="A128" s="40" t="str">
        <f>ORÇAMENTO!A23</f>
        <v>3.1</v>
      </c>
      <c r="B128" s="86"/>
      <c r="C128" s="388" t="str">
        <f>ORÇAMENTO!C23</f>
        <v>ESTACA TRADO ROTATIVO</v>
      </c>
      <c r="D128" s="402"/>
      <c r="E128" s="402"/>
      <c r="F128" s="402"/>
      <c r="G128" s="402"/>
      <c r="H128" s="402"/>
      <c r="I128" s="402"/>
      <c r="J128" s="402"/>
      <c r="K128" s="402"/>
      <c r="L128" s="402"/>
      <c r="M128" s="403"/>
    </row>
    <row r="129" spans="1:13" s="10" customFormat="1" ht="12.75">
      <c r="A129" s="11"/>
      <c r="M129" s="12"/>
    </row>
    <row r="130" spans="1:13" s="10" customFormat="1" ht="26.25" customHeight="1">
      <c r="A130" s="38" t="str">
        <f>ORÇAMENTO!A24</f>
        <v>3.1.1</v>
      </c>
      <c r="B130" s="86"/>
      <c r="C130" s="388" t="str">
        <f>ORÇAMENTO!D24</f>
        <v>MOBILIZAÇÃO E DESMOBILIZAÇÃO DE EQUIPAMENTO PARA ESTACA TIPO TRADO ROTATIVO (CUSTO FIXO), INCLUSIVE CARGA E DESCARGA, EXCLUSIVE TRANSPORTE EM QUILÔMETRO RODADO (CUSTO VARIÁVEL)</v>
      </c>
      <c r="D130" s="388"/>
      <c r="E130" s="388"/>
      <c r="F130" s="388"/>
      <c r="G130" s="388"/>
      <c r="H130" s="388"/>
      <c r="I130" s="388"/>
      <c r="J130" s="388"/>
      <c r="K130" s="388"/>
      <c r="L130" s="388"/>
      <c r="M130" s="47" t="str">
        <f>ORÇAMENTO!E24</f>
        <v>UN</v>
      </c>
    </row>
    <row r="131" spans="1:13" s="10" customFormat="1" ht="12.75">
      <c r="A131" s="11"/>
      <c r="M131" s="12"/>
    </row>
    <row r="132" spans="1:13" s="10" customFormat="1">
      <c r="A132" s="11"/>
      <c r="B132" s="87" t="s">
        <v>52</v>
      </c>
      <c r="C132" s="88"/>
      <c r="D132" s="88" t="s">
        <v>50</v>
      </c>
      <c r="E132" s="89">
        <v>1</v>
      </c>
      <c r="F132" s="91"/>
      <c r="G132" s="95"/>
      <c r="H132" s="91"/>
      <c r="I132" s="165" t="s">
        <v>545</v>
      </c>
      <c r="J132" s="91"/>
      <c r="K132" s="92"/>
      <c r="L132" s="93" t="s">
        <v>50</v>
      </c>
      <c r="M132" s="13">
        <f>E132</f>
        <v>1</v>
      </c>
    </row>
    <row r="133" spans="1:13" s="10" customFormat="1">
      <c r="A133" s="11"/>
      <c r="B133" s="10" t="s">
        <v>618</v>
      </c>
      <c r="E133" s="39" t="s">
        <v>52</v>
      </c>
      <c r="F133" s="39"/>
      <c r="G133" s="6"/>
      <c r="H133" s="39"/>
      <c r="I133" s="165" t="s">
        <v>629</v>
      </c>
      <c r="J133" s="39"/>
      <c r="M133" s="12"/>
    </row>
    <row r="134" spans="1:13" s="10" customFormat="1" ht="12.75">
      <c r="A134" s="11"/>
      <c r="M134" s="12"/>
    </row>
    <row r="135" spans="1:13" s="161" customFormat="1" ht="12.75">
      <c r="A135" s="163"/>
      <c r="B135" s="161" t="s">
        <v>10</v>
      </c>
      <c r="I135" s="165"/>
      <c r="L135" s="162" t="s">
        <v>50</v>
      </c>
      <c r="M135" s="46">
        <f>SUM(M132)</f>
        <v>1</v>
      </c>
    </row>
    <row r="136" spans="1:13" s="10" customFormat="1" ht="12.75">
      <c r="A136" s="11"/>
      <c r="M136" s="12"/>
    </row>
    <row r="137" spans="1:13" s="10" customFormat="1" ht="26.25" customHeight="1">
      <c r="A137" s="38" t="str">
        <f>ORÇAMENTO!A25</f>
        <v>3.1.2</v>
      </c>
      <c r="B137" s="86"/>
      <c r="C137" s="388" t="str">
        <f>ORÇAMENTO!D25</f>
        <v>MOBILIZAÇÃO E DESMOBILIZAÇÃO DE EQUIPAMENTO PARA ESTACA TIPO TRADO ROTATIVO (CUSTO VARIÁVEL), EXCLUSIVE CUSTO FIXO DE TRANSPORTE</v>
      </c>
      <c r="D137" s="388"/>
      <c r="E137" s="388"/>
      <c r="F137" s="388"/>
      <c r="G137" s="388"/>
      <c r="H137" s="388"/>
      <c r="I137" s="388"/>
      <c r="J137" s="388"/>
      <c r="K137" s="388"/>
      <c r="L137" s="388"/>
      <c r="M137" s="47" t="str">
        <f>ORÇAMENTO!E25</f>
        <v>KM</v>
      </c>
    </row>
    <row r="138" spans="1:13" s="10" customFormat="1" ht="12.75">
      <c r="A138" s="11"/>
      <c r="M138" s="12"/>
    </row>
    <row r="139" spans="1:13" s="10" customFormat="1" ht="12.75">
      <c r="A139" s="11"/>
      <c r="B139" s="87" t="s">
        <v>52</v>
      </c>
      <c r="D139" s="88" t="s">
        <v>50</v>
      </c>
      <c r="E139" s="89">
        <v>10</v>
      </c>
      <c r="F139" s="90"/>
      <c r="G139" s="91"/>
      <c r="I139" s="165" t="s">
        <v>545</v>
      </c>
      <c r="J139" s="92"/>
      <c r="K139" s="92"/>
      <c r="L139" s="93" t="s">
        <v>50</v>
      </c>
      <c r="M139" s="13">
        <f>E139</f>
        <v>10</v>
      </c>
    </row>
    <row r="140" spans="1:13" s="10" customFormat="1" ht="12.75">
      <c r="A140" s="11"/>
      <c r="B140" s="10" t="s">
        <v>618</v>
      </c>
      <c r="E140" s="39" t="s">
        <v>499</v>
      </c>
      <c r="G140" s="39"/>
      <c r="I140" s="165" t="s">
        <v>629</v>
      </c>
      <c r="M140" s="12"/>
    </row>
    <row r="141" spans="1:13" s="10" customFormat="1" ht="12.75">
      <c r="A141" s="11"/>
      <c r="M141" s="12"/>
    </row>
    <row r="142" spans="1:13" s="161" customFormat="1" ht="12.75">
      <c r="A142" s="163"/>
      <c r="B142" s="161" t="s">
        <v>10</v>
      </c>
      <c r="I142" s="165"/>
      <c r="L142" s="162" t="s">
        <v>50</v>
      </c>
      <c r="M142" s="46">
        <f>SUM(M139)</f>
        <v>10</v>
      </c>
    </row>
    <row r="143" spans="1:13" s="10" customFormat="1" ht="12.75">
      <c r="A143" s="11"/>
      <c r="M143" s="12"/>
    </row>
    <row r="144" spans="1:13" s="10" customFormat="1" ht="26.25" customHeight="1">
      <c r="A144" s="38" t="str">
        <f>ORÇAMENTO!A26</f>
        <v>3.1.3</v>
      </c>
      <c r="B144" s="86"/>
      <c r="C144" s="388" t="str">
        <f>ORÇAMENTO!D26</f>
        <v>PERFURAÇÃO MECÂNICA DE ESTACA TIPO TRADO ROTATIVO, INCLUSIVE AFASTAMENTO LATERAL, EXCLUSIVE ARMAÇÃO, CONCRETO ESTRUTURAL, TRANSPORTE E RETIRADA DO MATERIAL ESCAVADO</v>
      </c>
      <c r="D144" s="388"/>
      <c r="E144" s="388"/>
      <c r="F144" s="388"/>
      <c r="G144" s="388"/>
      <c r="H144" s="388"/>
      <c r="I144" s="388"/>
      <c r="J144" s="388"/>
      <c r="K144" s="388"/>
      <c r="L144" s="388"/>
      <c r="M144" s="47" t="str">
        <f>ORÇAMENTO!E26</f>
        <v>M3</v>
      </c>
    </row>
    <row r="145" spans="1:13" s="10" customFormat="1" ht="12.75">
      <c r="A145" s="11"/>
      <c r="M145" s="12"/>
    </row>
    <row r="146" spans="1:13" s="10" customFormat="1">
      <c r="A146" s="11"/>
      <c r="B146" s="87" t="s">
        <v>52</v>
      </c>
      <c r="D146" s="88" t="s">
        <v>50</v>
      </c>
      <c r="E146" s="89">
        <f>(3.14*0.25^2)/4</f>
        <v>4.9062500000000002E-2</v>
      </c>
      <c r="F146" s="95" t="s">
        <v>69</v>
      </c>
      <c r="G146" s="89">
        <v>10</v>
      </c>
      <c r="H146" s="90" t="s">
        <v>69</v>
      </c>
      <c r="I146" s="89">
        <f>16+31</f>
        <v>47</v>
      </c>
      <c r="J146" s="92"/>
      <c r="K146" s="92"/>
      <c r="L146" s="93" t="s">
        <v>50</v>
      </c>
      <c r="M146" s="14">
        <f>E146*G146*I146</f>
        <v>23.059375000000003</v>
      </c>
    </row>
    <row r="147" spans="1:13" s="10" customFormat="1">
      <c r="A147" s="11"/>
      <c r="B147" s="10" t="s">
        <v>618</v>
      </c>
      <c r="E147" s="39" t="s">
        <v>71</v>
      </c>
      <c r="F147" s="6"/>
      <c r="G147" s="39" t="s">
        <v>56</v>
      </c>
      <c r="I147" s="39" t="s">
        <v>52</v>
      </c>
      <c r="M147" s="12"/>
    </row>
    <row r="148" spans="1:13" s="10" customFormat="1">
      <c r="A148" s="11"/>
      <c r="E148" s="39"/>
      <c r="F148" s="6"/>
      <c r="G148" s="39"/>
      <c r="M148" s="12"/>
    </row>
    <row r="149" spans="1:13" s="161" customFormat="1" ht="12.75">
      <c r="A149" s="163"/>
      <c r="B149" s="161" t="s">
        <v>10</v>
      </c>
      <c r="I149" s="165" t="s">
        <v>545</v>
      </c>
      <c r="L149" s="162" t="s">
        <v>50</v>
      </c>
      <c r="M149" s="158">
        <f>M146</f>
        <v>23.059375000000003</v>
      </c>
    </row>
    <row r="150" spans="1:13" s="10" customFormat="1" ht="12.75">
      <c r="A150" s="11"/>
      <c r="I150" s="165" t="s">
        <v>629</v>
      </c>
      <c r="M150" s="12"/>
    </row>
    <row r="151" spans="1:13" s="10" customFormat="1" ht="26.25" customHeight="1">
      <c r="A151" s="38" t="str">
        <f>ORÇAMENTO!A27</f>
        <v>3.1.4</v>
      </c>
      <c r="B151" s="86"/>
      <c r="C151" s="388" t="str">
        <f>ORÇAMENTO!D27</f>
        <v>CORTE, DOBRA E MONTAGEM DE AÇO CA-50/60</v>
      </c>
      <c r="D151" s="388"/>
      <c r="E151" s="388"/>
      <c r="F151" s="388"/>
      <c r="G151" s="388"/>
      <c r="H151" s="388"/>
      <c r="I151" s="388"/>
      <c r="J151" s="388"/>
      <c r="K151" s="388"/>
      <c r="L151" s="388"/>
      <c r="M151" s="47" t="str">
        <f>ORÇAMENTO!E27</f>
        <v>KG</v>
      </c>
    </row>
    <row r="152" spans="1:13" s="10" customFormat="1" ht="12.75">
      <c r="A152" s="11"/>
      <c r="M152" s="12"/>
    </row>
    <row r="153" spans="1:13" s="10" customFormat="1">
      <c r="A153" s="11"/>
      <c r="B153" s="87" t="s">
        <v>320</v>
      </c>
      <c r="D153" s="88" t="s">
        <v>50</v>
      </c>
      <c r="E153" s="89">
        <f>G146</f>
        <v>10</v>
      </c>
      <c r="F153" s="95" t="s">
        <v>69</v>
      </c>
      <c r="G153" s="89">
        <f>(16*6)+(31*6)</f>
        <v>282</v>
      </c>
      <c r="H153" s="95" t="s">
        <v>69</v>
      </c>
      <c r="I153" s="89">
        <v>0.624</v>
      </c>
      <c r="J153" s="175" t="s">
        <v>319</v>
      </c>
      <c r="K153" s="92"/>
      <c r="L153" s="93" t="s">
        <v>50</v>
      </c>
      <c r="M153" s="13">
        <f>E153*G153*I153*1.1</f>
        <v>1935.6480000000001</v>
      </c>
    </row>
    <row r="154" spans="1:13" s="10" customFormat="1">
      <c r="A154" s="11"/>
      <c r="B154" s="10" t="s">
        <v>618</v>
      </c>
      <c r="E154" s="39" t="s">
        <v>289</v>
      </c>
      <c r="F154" s="6"/>
      <c r="G154" s="39" t="s">
        <v>219</v>
      </c>
      <c r="H154" s="6"/>
      <c r="I154" s="39" t="s">
        <v>318</v>
      </c>
      <c r="M154" s="12"/>
    </row>
    <row r="155" spans="1:13" s="10" customFormat="1">
      <c r="A155" s="11"/>
      <c r="E155" s="39"/>
      <c r="F155" s="6"/>
      <c r="G155" s="39"/>
      <c r="M155" s="12"/>
    </row>
    <row r="156" spans="1:13" s="10" customFormat="1">
      <c r="A156" s="11"/>
      <c r="B156" s="87" t="s">
        <v>321</v>
      </c>
      <c r="D156" s="88" t="s">
        <v>50</v>
      </c>
      <c r="E156" s="89">
        <v>0.98</v>
      </c>
      <c r="F156" s="95" t="s">
        <v>69</v>
      </c>
      <c r="G156" s="89">
        <f>(16*20)+(31*20)</f>
        <v>940</v>
      </c>
      <c r="H156" s="95" t="s">
        <v>69</v>
      </c>
      <c r="I156" s="89">
        <v>0.248</v>
      </c>
      <c r="J156" s="175" t="s">
        <v>319</v>
      </c>
      <c r="K156" s="92"/>
      <c r="L156" s="93" t="s">
        <v>50</v>
      </c>
      <c r="M156" s="13">
        <f>E156*G156*I156*1.1</f>
        <v>251.30336</v>
      </c>
    </row>
    <row r="157" spans="1:13" s="10" customFormat="1">
      <c r="A157" s="11"/>
      <c r="B157" s="10" t="s">
        <v>618</v>
      </c>
      <c r="E157" s="39" t="s">
        <v>289</v>
      </c>
      <c r="F157" s="6"/>
      <c r="G157" s="39" t="s">
        <v>219</v>
      </c>
      <c r="H157" s="6"/>
      <c r="I157" s="39" t="s">
        <v>318</v>
      </c>
      <c r="M157" s="12"/>
    </row>
    <row r="158" spans="1:13" s="10" customFormat="1">
      <c r="A158" s="11"/>
      <c r="E158" s="39"/>
      <c r="F158" s="6"/>
      <c r="G158" s="39"/>
      <c r="M158" s="12"/>
    </row>
    <row r="159" spans="1:13" s="10" customFormat="1">
      <c r="A159" s="11"/>
      <c r="B159" s="87" t="s">
        <v>322</v>
      </c>
      <c r="D159" s="88" t="s">
        <v>50</v>
      </c>
      <c r="E159" s="89">
        <v>0.98</v>
      </c>
      <c r="F159" s="95" t="s">
        <v>69</v>
      </c>
      <c r="G159" s="89">
        <f>(16*51)+(31*51)</f>
        <v>2397</v>
      </c>
      <c r="H159" s="95" t="s">
        <v>69</v>
      </c>
      <c r="I159" s="89">
        <v>0.248</v>
      </c>
      <c r="J159" s="175" t="s">
        <v>319</v>
      </c>
      <c r="K159" s="92"/>
      <c r="L159" s="93" t="s">
        <v>50</v>
      </c>
      <c r="M159" s="13">
        <f>E159*G159*I159*1.1</f>
        <v>640.82356800000002</v>
      </c>
    </row>
    <row r="160" spans="1:13" s="10" customFormat="1">
      <c r="A160" s="11"/>
      <c r="B160" s="10" t="s">
        <v>618</v>
      </c>
      <c r="E160" s="39" t="s">
        <v>289</v>
      </c>
      <c r="F160" s="6"/>
      <c r="G160" s="39" t="s">
        <v>219</v>
      </c>
      <c r="H160" s="6"/>
      <c r="I160" s="39" t="s">
        <v>318</v>
      </c>
      <c r="M160" s="12"/>
    </row>
    <row r="161" spans="1:13" s="10" customFormat="1">
      <c r="A161" s="11"/>
      <c r="E161" s="39"/>
      <c r="F161" s="6"/>
      <c r="G161" s="39"/>
      <c r="M161" s="12"/>
    </row>
    <row r="162" spans="1:13" s="161" customFormat="1" ht="12.75">
      <c r="A162" s="163"/>
      <c r="B162" s="161" t="s">
        <v>10</v>
      </c>
      <c r="I162" s="165" t="s">
        <v>545</v>
      </c>
      <c r="L162" s="162" t="s">
        <v>50</v>
      </c>
      <c r="M162" s="46">
        <f>SUM(M153:M159)</f>
        <v>2827.7749279999998</v>
      </c>
    </row>
    <row r="163" spans="1:13" s="10" customFormat="1" ht="12.75">
      <c r="A163" s="11"/>
      <c r="I163" s="165" t="s">
        <v>629</v>
      </c>
      <c r="M163" s="12"/>
    </row>
    <row r="164" spans="1:13" s="10" customFormat="1" ht="26.25" customHeight="1">
      <c r="A164" s="38" t="str">
        <f>ORÇAMENTO!A28</f>
        <v>3.1.5</v>
      </c>
      <c r="B164" s="86"/>
      <c r="C164" s="388" t="str">
        <f>ORÇAMENTO!D28</f>
        <v>FORNECIMENTO DE CONCRETO ESTRUTURAL, USINADO BOMBEADO, COM FCK 25MPA, INCLUSIVE LANÇAMENTO, ADENSAMENTO E ACABAMENTO</v>
      </c>
      <c r="D164" s="388"/>
      <c r="E164" s="388"/>
      <c r="F164" s="388"/>
      <c r="G164" s="388"/>
      <c r="H164" s="388"/>
      <c r="I164" s="388"/>
      <c r="J164" s="388"/>
      <c r="K164" s="388"/>
      <c r="L164" s="388"/>
      <c r="M164" s="47" t="str">
        <f>ORÇAMENTO!E28</f>
        <v>M3</v>
      </c>
    </row>
    <row r="165" spans="1:13" s="10" customFormat="1" ht="12.75">
      <c r="A165" s="11"/>
      <c r="M165" s="12"/>
    </row>
    <row r="166" spans="1:13" s="10" customFormat="1">
      <c r="A166" s="11"/>
      <c r="B166" s="87" t="s">
        <v>52</v>
      </c>
      <c r="D166" s="88" t="s">
        <v>50</v>
      </c>
      <c r="E166" s="89">
        <f>(3.14*0.25^2)/4</f>
        <v>4.9062500000000002E-2</v>
      </c>
      <c r="F166" s="95" t="s">
        <v>69</v>
      </c>
      <c r="G166" s="89">
        <v>9.6</v>
      </c>
      <c r="H166" s="90" t="s">
        <v>69</v>
      </c>
      <c r="I166" s="89">
        <f>16+31</f>
        <v>47</v>
      </c>
      <c r="J166" s="92"/>
      <c r="K166" s="92"/>
      <c r="L166" s="93" t="s">
        <v>50</v>
      </c>
      <c r="M166" s="13">
        <f>E166*G166*I166</f>
        <v>22.137</v>
      </c>
    </row>
    <row r="167" spans="1:13" s="10" customFormat="1">
      <c r="A167" s="11"/>
      <c r="B167" s="10" t="s">
        <v>618</v>
      </c>
      <c r="E167" s="39" t="s">
        <v>71</v>
      </c>
      <c r="F167" s="6"/>
      <c r="G167" s="39" t="s">
        <v>56</v>
      </c>
      <c r="I167" s="39" t="s">
        <v>52</v>
      </c>
      <c r="M167" s="12"/>
    </row>
    <row r="168" spans="1:13" s="10" customFormat="1">
      <c r="A168" s="11"/>
      <c r="E168" s="39"/>
      <c r="F168" s="6"/>
      <c r="G168" s="39"/>
      <c r="M168" s="12"/>
    </row>
    <row r="169" spans="1:13" s="161" customFormat="1" ht="12.75">
      <c r="A169" s="163"/>
      <c r="B169" s="161" t="s">
        <v>10</v>
      </c>
      <c r="I169" s="165" t="s">
        <v>545</v>
      </c>
      <c r="L169" s="162" t="s">
        <v>50</v>
      </c>
      <c r="M169" s="46">
        <f>M166</f>
        <v>22.137</v>
      </c>
    </row>
    <row r="170" spans="1:13" s="10" customFormat="1" ht="12.75">
      <c r="A170" s="11"/>
      <c r="I170" s="165" t="s">
        <v>629</v>
      </c>
      <c r="M170" s="12"/>
    </row>
    <row r="171" spans="1:13" s="10" customFormat="1" ht="15">
      <c r="A171" s="16" t="str">
        <f>ORÇAMENTO!A30</f>
        <v>3.2</v>
      </c>
      <c r="B171" s="85"/>
      <c r="C171" s="384" t="str">
        <f>ORÇAMENTO!C30</f>
        <v>BLOCO DE COROAMENTO</v>
      </c>
      <c r="D171" s="384"/>
      <c r="E171" s="384"/>
      <c r="F171" s="384"/>
      <c r="G171" s="384"/>
      <c r="H171" s="384"/>
      <c r="I171" s="384"/>
      <c r="J171" s="384"/>
      <c r="K171" s="384"/>
      <c r="L171" s="384"/>
      <c r="M171" s="385"/>
    </row>
    <row r="172" spans="1:13" s="10" customFormat="1" ht="12.75">
      <c r="A172" s="11"/>
      <c r="M172" s="12"/>
    </row>
    <row r="173" spans="1:13" s="10" customFormat="1" ht="26.25" customHeight="1">
      <c r="A173" s="38" t="str">
        <f>ORÇAMENTO!A31</f>
        <v>3.2.1</v>
      </c>
      <c r="B173" s="86"/>
      <c r="C173" s="388" t="str">
        <f>ORÇAMENTO!D31</f>
        <v>FORNECIMENTO DE CONCRETO ESTRUTURAL, USINADO BOMBEADO, COM FCK 25 MPA, INCLUSIVE LANÇAMENTO, ADENSAMENTO E ACABAMENTO</v>
      </c>
      <c r="D173" s="388"/>
      <c r="E173" s="388"/>
      <c r="F173" s="388"/>
      <c r="G173" s="388"/>
      <c r="H173" s="388"/>
      <c r="I173" s="388"/>
      <c r="J173" s="388"/>
      <c r="K173" s="388"/>
      <c r="L173" s="388"/>
      <c r="M173" s="47" t="str">
        <f>ORÇAMENTO!E31</f>
        <v>M3</v>
      </c>
    </row>
    <row r="174" spans="1:13" s="10" customFormat="1" ht="12.75">
      <c r="A174" s="5"/>
      <c r="M174" s="12"/>
    </row>
    <row r="175" spans="1:13" s="10" customFormat="1">
      <c r="A175" s="5"/>
      <c r="B175" s="87" t="s">
        <v>80</v>
      </c>
      <c r="D175" s="88" t="s">
        <v>50</v>
      </c>
      <c r="E175" s="89">
        <v>3.23</v>
      </c>
      <c r="F175" s="95"/>
      <c r="G175" s="94"/>
      <c r="I175" s="161" t="s">
        <v>545</v>
      </c>
      <c r="J175" s="92"/>
      <c r="K175" s="92"/>
      <c r="L175" s="93" t="s">
        <v>50</v>
      </c>
      <c r="M175" s="13">
        <f>E175</f>
        <v>3.23</v>
      </c>
    </row>
    <row r="176" spans="1:13" s="10" customFormat="1">
      <c r="A176" s="5"/>
      <c r="B176" s="10" t="s">
        <v>615</v>
      </c>
      <c r="E176" s="39" t="s">
        <v>53</v>
      </c>
      <c r="F176" s="6"/>
      <c r="M176" s="12"/>
    </row>
    <row r="177" spans="1:13" s="10" customFormat="1">
      <c r="A177" s="5"/>
      <c r="E177" s="39"/>
      <c r="F177" s="6"/>
      <c r="M177" s="12"/>
    </row>
    <row r="178" spans="1:13" s="10" customFormat="1">
      <c r="A178" s="212"/>
      <c r="B178" s="87" t="s">
        <v>80</v>
      </c>
      <c r="D178" s="88" t="s">
        <v>50</v>
      </c>
      <c r="E178" s="89">
        <v>5.68</v>
      </c>
      <c r="F178" s="95"/>
      <c r="G178" s="94"/>
      <c r="I178" s="161" t="s">
        <v>629</v>
      </c>
      <c r="J178" s="92"/>
      <c r="K178" s="92"/>
      <c r="L178" s="93" t="s">
        <v>50</v>
      </c>
      <c r="M178" s="13">
        <f>E178</f>
        <v>5.68</v>
      </c>
    </row>
    <row r="179" spans="1:13" s="10" customFormat="1">
      <c r="A179" s="212"/>
      <c r="B179" s="10" t="s">
        <v>616</v>
      </c>
      <c r="E179" s="39" t="s">
        <v>53</v>
      </c>
      <c r="F179" s="6"/>
      <c r="M179" s="12"/>
    </row>
    <row r="180" spans="1:13" s="10" customFormat="1">
      <c r="A180" s="212"/>
      <c r="E180" s="39"/>
      <c r="F180" s="6"/>
      <c r="M180" s="12"/>
    </row>
    <row r="181" spans="1:13" s="161" customFormat="1" ht="12.75">
      <c r="A181" s="163"/>
      <c r="B181" s="161" t="s">
        <v>10</v>
      </c>
      <c r="L181" s="162" t="s">
        <v>50</v>
      </c>
      <c r="M181" s="46">
        <f>SUM(M175:M178)</f>
        <v>8.91</v>
      </c>
    </row>
    <row r="182" spans="1:13" s="10" customFormat="1" ht="12.75">
      <c r="A182" s="11"/>
      <c r="L182" s="93"/>
      <c r="M182" s="14"/>
    </row>
    <row r="183" spans="1:13" s="10" customFormat="1" ht="26.25" customHeight="1">
      <c r="A183" s="38" t="str">
        <f>ORÇAMENTO!A32</f>
        <v>3.2.2</v>
      </c>
      <c r="B183" s="86"/>
      <c r="C183" s="388" t="str">
        <f>ORÇAMENTO!D32</f>
        <v>FORMA E DESFORMA DE COMPENSADO RESINADO, ESP. 12 MM, REAPROVEITAMENTO (3X) (FUNDAÇÃO)</v>
      </c>
      <c r="D183" s="388"/>
      <c r="E183" s="388"/>
      <c r="F183" s="388"/>
      <c r="G183" s="388"/>
      <c r="H183" s="388"/>
      <c r="I183" s="388"/>
      <c r="J183" s="388"/>
      <c r="K183" s="388"/>
      <c r="L183" s="388"/>
      <c r="M183" s="47" t="str">
        <f>ORÇAMENTO!E32</f>
        <v>M2</v>
      </c>
    </row>
    <row r="184" spans="1:13" s="10" customFormat="1" ht="12.75">
      <c r="A184" s="5"/>
      <c r="M184" s="12"/>
    </row>
    <row r="185" spans="1:13" s="10" customFormat="1">
      <c r="A185" s="5"/>
      <c r="B185" s="87" t="s">
        <v>80</v>
      </c>
      <c r="D185" s="88" t="s">
        <v>50</v>
      </c>
      <c r="E185" s="89">
        <v>19.59</v>
      </c>
      <c r="F185" s="95"/>
      <c r="G185" s="94"/>
      <c r="I185" s="161" t="s">
        <v>545</v>
      </c>
      <c r="J185" s="92"/>
      <c r="K185" s="92"/>
      <c r="L185" s="93" t="s">
        <v>50</v>
      </c>
      <c r="M185" s="13">
        <f>E185</f>
        <v>19.59</v>
      </c>
    </row>
    <row r="186" spans="1:13" s="10" customFormat="1">
      <c r="A186" s="5"/>
      <c r="B186" s="10" t="s">
        <v>615</v>
      </c>
      <c r="E186" s="39" t="s">
        <v>51</v>
      </c>
      <c r="F186" s="6"/>
      <c r="M186" s="12"/>
    </row>
    <row r="187" spans="1:13" s="10" customFormat="1">
      <c r="A187" s="5"/>
      <c r="E187" s="39"/>
      <c r="F187" s="6"/>
      <c r="M187" s="12"/>
    </row>
    <row r="188" spans="1:13" s="10" customFormat="1">
      <c r="A188" s="212"/>
      <c r="B188" s="87" t="s">
        <v>80</v>
      </c>
      <c r="D188" s="88" t="s">
        <v>50</v>
      </c>
      <c r="E188" s="89">
        <v>39.770000000000003</v>
      </c>
      <c r="F188" s="95"/>
      <c r="G188" s="94"/>
      <c r="I188" s="161" t="s">
        <v>629</v>
      </c>
      <c r="J188" s="92"/>
      <c r="K188" s="92"/>
      <c r="L188" s="93" t="s">
        <v>50</v>
      </c>
      <c r="M188" s="13">
        <f>E188</f>
        <v>39.770000000000003</v>
      </c>
    </row>
    <row r="189" spans="1:13" s="10" customFormat="1">
      <c r="A189" s="212"/>
      <c r="B189" s="10" t="s">
        <v>616</v>
      </c>
      <c r="E189" s="39" t="s">
        <v>53</v>
      </c>
      <c r="F189" s="6"/>
      <c r="M189" s="12"/>
    </row>
    <row r="190" spans="1:13" s="10" customFormat="1">
      <c r="A190" s="212"/>
      <c r="E190" s="39"/>
      <c r="F190" s="6"/>
      <c r="M190" s="12"/>
    </row>
    <row r="191" spans="1:13" s="161" customFormat="1" ht="12.75">
      <c r="A191" s="163"/>
      <c r="B191" s="161" t="s">
        <v>10</v>
      </c>
      <c r="L191" s="162" t="s">
        <v>50</v>
      </c>
      <c r="M191" s="46">
        <f>SUM(M185:M188)</f>
        <v>59.36</v>
      </c>
    </row>
    <row r="192" spans="1:13" s="10" customFormat="1" ht="12.75">
      <c r="A192" s="11"/>
      <c r="M192" s="12"/>
    </row>
    <row r="193" spans="1:13" s="10" customFormat="1" ht="26.25" customHeight="1">
      <c r="A193" s="38" t="str">
        <f>ORÇAMENTO!A33</f>
        <v>3.2.3</v>
      </c>
      <c r="B193" s="86"/>
      <c r="C193" s="388" t="str">
        <f>ORÇAMENTO!D33</f>
        <v>CORTE, DOBRA E MONTAGEM DE AÇO CA-50/60</v>
      </c>
      <c r="D193" s="388"/>
      <c r="E193" s="388"/>
      <c r="F193" s="388"/>
      <c r="G193" s="388"/>
      <c r="H193" s="388"/>
      <c r="I193" s="388"/>
      <c r="J193" s="388"/>
      <c r="K193" s="388"/>
      <c r="L193" s="388"/>
      <c r="M193" s="47" t="str">
        <f>ORÇAMENTO!E33</f>
        <v>KG</v>
      </c>
    </row>
    <row r="194" spans="1:13" s="10" customFormat="1" ht="12.75">
      <c r="A194" s="5"/>
      <c r="M194" s="12"/>
    </row>
    <row r="195" spans="1:13" s="10" customFormat="1">
      <c r="A195" s="5"/>
      <c r="B195" s="87" t="s">
        <v>80</v>
      </c>
      <c r="D195" s="88" t="s">
        <v>50</v>
      </c>
      <c r="E195" s="89">
        <f>37.6+48.5</f>
        <v>86.1</v>
      </c>
      <c r="F195" s="95"/>
      <c r="G195" s="94"/>
      <c r="I195" s="161" t="s">
        <v>545</v>
      </c>
      <c r="J195" s="92"/>
      <c r="K195" s="92"/>
      <c r="L195" s="93" t="s">
        <v>50</v>
      </c>
      <c r="M195" s="13">
        <f>E195</f>
        <v>86.1</v>
      </c>
    </row>
    <row r="196" spans="1:13" s="10" customFormat="1">
      <c r="A196" s="5"/>
      <c r="B196" s="10" t="s">
        <v>615</v>
      </c>
      <c r="E196" s="39" t="s">
        <v>70</v>
      </c>
      <c r="F196" s="6"/>
      <c r="M196" s="12"/>
    </row>
    <row r="197" spans="1:13" s="10" customFormat="1">
      <c r="A197" s="5"/>
      <c r="E197" s="39"/>
      <c r="F197" s="6"/>
      <c r="M197" s="12"/>
    </row>
    <row r="198" spans="1:13" s="10" customFormat="1">
      <c r="A198" s="212"/>
      <c r="B198" s="87" t="s">
        <v>80</v>
      </c>
      <c r="D198" s="88" t="s">
        <v>50</v>
      </c>
      <c r="E198" s="89">
        <f>47.4+90.2</f>
        <v>137.6</v>
      </c>
      <c r="F198" s="95"/>
      <c r="G198" s="94"/>
      <c r="I198" s="161" t="s">
        <v>629</v>
      </c>
      <c r="J198" s="92"/>
      <c r="K198" s="92"/>
      <c r="L198" s="93" t="s">
        <v>50</v>
      </c>
      <c r="M198" s="13">
        <f>E198</f>
        <v>137.6</v>
      </c>
    </row>
    <row r="199" spans="1:13" s="10" customFormat="1">
      <c r="A199" s="212"/>
      <c r="B199" s="10" t="s">
        <v>616</v>
      </c>
      <c r="E199" s="39" t="s">
        <v>70</v>
      </c>
      <c r="F199" s="6"/>
      <c r="M199" s="12"/>
    </row>
    <row r="200" spans="1:13" s="10" customFormat="1">
      <c r="A200" s="212"/>
      <c r="E200" s="39"/>
      <c r="F200" s="6"/>
      <c r="M200" s="12"/>
    </row>
    <row r="201" spans="1:13" s="161" customFormat="1" ht="12.75">
      <c r="A201" s="160"/>
      <c r="B201" s="161" t="s">
        <v>10</v>
      </c>
      <c r="L201" s="162" t="s">
        <v>50</v>
      </c>
      <c r="M201" s="46">
        <f>SUM(M195:M198)</f>
        <v>223.7</v>
      </c>
    </row>
    <row r="202" spans="1:13" s="10" customFormat="1" ht="12.75">
      <c r="A202" s="5"/>
      <c r="L202" s="93"/>
      <c r="M202" s="14"/>
    </row>
    <row r="203" spans="1:13" s="10" customFormat="1" ht="26.25" customHeight="1">
      <c r="A203" s="38" t="str">
        <f>ORÇAMENTO!A34</f>
        <v>3.2.4</v>
      </c>
      <c r="B203" s="86"/>
      <c r="C203" s="388" t="str">
        <f>ORÇAMENTO!D34</f>
        <v>APILOAMENTO DO FUNDO DE VALAS COM PLACA</v>
      </c>
      <c r="D203" s="388"/>
      <c r="E203" s="388"/>
      <c r="F203" s="388"/>
      <c r="G203" s="388"/>
      <c r="H203" s="388"/>
      <c r="I203" s="388"/>
      <c r="J203" s="388"/>
      <c r="K203" s="388"/>
      <c r="L203" s="388"/>
      <c r="M203" s="47" t="str">
        <f>ORÇAMENTO!E34</f>
        <v>M2</v>
      </c>
    </row>
    <row r="204" spans="1:13" s="10" customFormat="1" ht="12.75">
      <c r="A204" s="5"/>
      <c r="M204" s="12"/>
    </row>
    <row r="205" spans="1:13" s="10" customFormat="1">
      <c r="A205" s="212"/>
      <c r="B205" s="10" t="s">
        <v>546</v>
      </c>
      <c r="D205" s="88" t="s">
        <v>50</v>
      </c>
      <c r="E205" s="89">
        <f>1.36</f>
        <v>1.36</v>
      </c>
      <c r="F205" s="95" t="s">
        <v>69</v>
      </c>
      <c r="G205" s="89">
        <v>2</v>
      </c>
      <c r="I205" s="165" t="s">
        <v>545</v>
      </c>
      <c r="J205" s="92"/>
      <c r="K205" s="92"/>
      <c r="L205" s="93" t="s">
        <v>50</v>
      </c>
      <c r="M205" s="13">
        <f>E205*G205</f>
        <v>2.72</v>
      </c>
    </row>
    <row r="206" spans="1:13" s="10" customFormat="1">
      <c r="A206" s="212"/>
      <c r="B206" s="10" t="s">
        <v>615</v>
      </c>
      <c r="E206" s="39" t="s">
        <v>71</v>
      </c>
      <c r="F206" s="6"/>
      <c r="G206" s="99" t="s">
        <v>380</v>
      </c>
      <c r="I206" s="165" t="s">
        <v>81</v>
      </c>
      <c r="M206" s="12"/>
    </row>
    <row r="207" spans="1:13" s="10" customFormat="1">
      <c r="A207" s="212"/>
      <c r="E207" s="99"/>
      <c r="F207" s="6"/>
      <c r="M207" s="12"/>
    </row>
    <row r="208" spans="1:13" s="10" customFormat="1">
      <c r="A208" s="212"/>
      <c r="B208" s="10" t="s">
        <v>547</v>
      </c>
      <c r="D208" s="88" t="s">
        <v>50</v>
      </c>
      <c r="E208" s="89">
        <f>1.36</f>
        <v>1.36</v>
      </c>
      <c r="F208" s="95" t="s">
        <v>69</v>
      </c>
      <c r="G208" s="89">
        <v>4</v>
      </c>
      <c r="I208" s="165" t="s">
        <v>545</v>
      </c>
      <c r="J208" s="92"/>
      <c r="K208" s="92"/>
      <c r="L208" s="93" t="s">
        <v>50</v>
      </c>
      <c r="M208" s="13">
        <f>E208*G208</f>
        <v>5.44</v>
      </c>
    </row>
    <row r="209" spans="1:13" s="10" customFormat="1">
      <c r="A209" s="212"/>
      <c r="B209" s="10" t="s">
        <v>615</v>
      </c>
      <c r="E209" s="39" t="s">
        <v>71</v>
      </c>
      <c r="F209" s="6"/>
      <c r="G209" s="99" t="s">
        <v>380</v>
      </c>
      <c r="I209" s="165" t="s">
        <v>81</v>
      </c>
      <c r="M209" s="12"/>
    </row>
    <row r="210" spans="1:13" s="10" customFormat="1">
      <c r="A210" s="212"/>
      <c r="E210" s="99"/>
      <c r="F210" s="6"/>
      <c r="M210" s="12"/>
    </row>
    <row r="211" spans="1:13" s="10" customFormat="1">
      <c r="A211" s="212"/>
      <c r="B211" s="10" t="s">
        <v>547</v>
      </c>
      <c r="D211" s="88" t="s">
        <v>50</v>
      </c>
      <c r="E211" s="89">
        <f>1.36</f>
        <v>1.36</v>
      </c>
      <c r="F211" s="95" t="s">
        <v>69</v>
      </c>
      <c r="G211" s="89">
        <v>8</v>
      </c>
      <c r="I211" s="161" t="s">
        <v>629</v>
      </c>
      <c r="J211" s="92"/>
      <c r="K211" s="92"/>
      <c r="L211" s="93" t="s">
        <v>50</v>
      </c>
      <c r="M211" s="13">
        <f>E211*G211</f>
        <v>10.88</v>
      </c>
    </row>
    <row r="212" spans="1:13" s="10" customFormat="1">
      <c r="A212" s="212"/>
      <c r="B212" s="10" t="s">
        <v>616</v>
      </c>
      <c r="E212" s="39" t="s">
        <v>71</v>
      </c>
      <c r="F212" s="6"/>
      <c r="G212" s="99" t="s">
        <v>380</v>
      </c>
      <c r="I212" s="165" t="s">
        <v>81</v>
      </c>
      <c r="M212" s="12"/>
    </row>
    <row r="213" spans="1:13" s="10" customFormat="1">
      <c r="A213" s="212"/>
      <c r="E213" s="99"/>
      <c r="F213" s="6"/>
      <c r="M213" s="12"/>
    </row>
    <row r="214" spans="1:13" s="10" customFormat="1">
      <c r="A214" s="212"/>
      <c r="B214" s="10" t="s">
        <v>619</v>
      </c>
      <c r="D214" s="88" t="s">
        <v>50</v>
      </c>
      <c r="E214" s="89">
        <f>1.9975</f>
        <v>1.9975000000000001</v>
      </c>
      <c r="F214" s="95" t="s">
        <v>69</v>
      </c>
      <c r="G214" s="89">
        <v>1</v>
      </c>
      <c r="I214" s="165" t="s">
        <v>545</v>
      </c>
      <c r="J214" s="92"/>
      <c r="K214" s="92"/>
      <c r="L214" s="93" t="s">
        <v>50</v>
      </c>
      <c r="M214" s="13">
        <f>E214*G214</f>
        <v>1.9975000000000001</v>
      </c>
    </row>
    <row r="215" spans="1:13" s="10" customFormat="1">
      <c r="A215" s="212"/>
      <c r="B215" s="10" t="s">
        <v>615</v>
      </c>
      <c r="E215" s="39" t="s">
        <v>71</v>
      </c>
      <c r="F215" s="6"/>
      <c r="G215" s="99" t="s">
        <v>380</v>
      </c>
      <c r="I215" s="165" t="s">
        <v>81</v>
      </c>
      <c r="M215" s="12"/>
    </row>
    <row r="216" spans="1:13" s="10" customFormat="1">
      <c r="A216" s="212"/>
      <c r="E216" s="99"/>
      <c r="F216" s="6"/>
      <c r="M216" s="12"/>
    </row>
    <row r="217" spans="1:13" s="10" customFormat="1">
      <c r="A217" s="212"/>
      <c r="B217" s="10" t="s">
        <v>620</v>
      </c>
      <c r="D217" s="88" t="s">
        <v>50</v>
      </c>
      <c r="E217" s="89">
        <f>1.8255</f>
        <v>1.8254999999999999</v>
      </c>
      <c r="F217" s="95" t="s">
        <v>69</v>
      </c>
      <c r="G217" s="89">
        <v>1</v>
      </c>
      <c r="I217" s="161" t="s">
        <v>629</v>
      </c>
      <c r="J217" s="92"/>
      <c r="K217" s="92"/>
      <c r="L217" s="93" t="s">
        <v>50</v>
      </c>
      <c r="M217" s="13">
        <f>E217*G217</f>
        <v>1.8254999999999999</v>
      </c>
    </row>
    <row r="218" spans="1:13" s="10" customFormat="1">
      <c r="A218" s="212"/>
      <c r="B218" s="10" t="s">
        <v>616</v>
      </c>
      <c r="E218" s="39" t="s">
        <v>71</v>
      </c>
      <c r="F218" s="6"/>
      <c r="G218" s="99" t="s">
        <v>380</v>
      </c>
      <c r="I218" s="165" t="s">
        <v>81</v>
      </c>
      <c r="M218" s="12"/>
    </row>
    <row r="219" spans="1:13" s="10" customFormat="1">
      <c r="A219" s="212"/>
      <c r="E219" s="99"/>
      <c r="F219" s="6"/>
      <c r="M219" s="12"/>
    </row>
    <row r="220" spans="1:13" s="10" customFormat="1">
      <c r="A220" s="212"/>
      <c r="B220" s="10" t="s">
        <v>617</v>
      </c>
      <c r="D220" s="88" t="s">
        <v>50</v>
      </c>
      <c r="E220" s="89">
        <f>0.7225</f>
        <v>0.72250000000000003</v>
      </c>
      <c r="F220" s="95" t="s">
        <v>69</v>
      </c>
      <c r="G220" s="89">
        <v>4</v>
      </c>
      <c r="I220" s="161" t="s">
        <v>629</v>
      </c>
      <c r="J220" s="92"/>
      <c r="K220" s="92"/>
      <c r="L220" s="93" t="s">
        <v>50</v>
      </c>
      <c r="M220" s="13">
        <f>E220*G220</f>
        <v>2.89</v>
      </c>
    </row>
    <row r="221" spans="1:13" s="10" customFormat="1">
      <c r="A221" s="212"/>
      <c r="B221" s="10" t="s">
        <v>616</v>
      </c>
      <c r="E221" s="39" t="s">
        <v>71</v>
      </c>
      <c r="F221" s="6"/>
      <c r="G221" s="99" t="s">
        <v>380</v>
      </c>
      <c r="I221" s="165" t="s">
        <v>81</v>
      </c>
      <c r="M221" s="12"/>
    </row>
    <row r="222" spans="1:13" s="10" customFormat="1">
      <c r="A222" s="212"/>
      <c r="E222" s="99"/>
      <c r="F222" s="6"/>
      <c r="M222" s="12"/>
    </row>
    <row r="223" spans="1:13" s="10" customFormat="1">
      <c r="A223" s="212"/>
      <c r="B223" s="10" t="s">
        <v>550</v>
      </c>
      <c r="D223" s="88" t="s">
        <v>50</v>
      </c>
      <c r="E223" s="89">
        <f>0.7225</f>
        <v>0.72250000000000003</v>
      </c>
      <c r="F223" s="95" t="s">
        <v>69</v>
      </c>
      <c r="G223" s="89">
        <v>1</v>
      </c>
      <c r="I223" s="165" t="s">
        <v>545</v>
      </c>
      <c r="J223" s="92"/>
      <c r="K223" s="92"/>
      <c r="L223" s="93" t="s">
        <v>50</v>
      </c>
      <c r="M223" s="13">
        <f>E223*G223</f>
        <v>0.72250000000000003</v>
      </c>
    </row>
    <row r="224" spans="1:13" s="10" customFormat="1">
      <c r="A224" s="212"/>
      <c r="B224" s="10" t="s">
        <v>615</v>
      </c>
      <c r="E224" s="39" t="s">
        <v>71</v>
      </c>
      <c r="F224" s="6"/>
      <c r="G224" s="99" t="s">
        <v>380</v>
      </c>
      <c r="I224" s="165" t="s">
        <v>81</v>
      </c>
      <c r="M224" s="12"/>
    </row>
    <row r="225" spans="1:13" s="10" customFormat="1">
      <c r="A225" s="212"/>
      <c r="E225" s="99"/>
      <c r="F225" s="6"/>
      <c r="M225" s="12"/>
    </row>
    <row r="226" spans="1:13" s="10" customFormat="1">
      <c r="A226" s="212"/>
      <c r="B226" s="10" t="s">
        <v>550</v>
      </c>
      <c r="D226" s="88" t="s">
        <v>50</v>
      </c>
      <c r="E226" s="89">
        <f>0.7225</f>
        <v>0.72250000000000003</v>
      </c>
      <c r="F226" s="95" t="s">
        <v>69</v>
      </c>
      <c r="G226" s="89">
        <v>8</v>
      </c>
      <c r="I226" s="161" t="s">
        <v>629</v>
      </c>
      <c r="J226" s="92"/>
      <c r="K226" s="92"/>
      <c r="L226" s="93" t="s">
        <v>50</v>
      </c>
      <c r="M226" s="13">
        <f>E226*G226</f>
        <v>5.78</v>
      </c>
    </row>
    <row r="227" spans="1:13" s="10" customFormat="1">
      <c r="A227" s="212"/>
      <c r="B227" s="10" t="s">
        <v>616</v>
      </c>
      <c r="E227" s="39" t="s">
        <v>71</v>
      </c>
      <c r="F227" s="6"/>
      <c r="G227" s="99" t="s">
        <v>380</v>
      </c>
      <c r="I227" s="165" t="s">
        <v>81</v>
      </c>
      <c r="M227" s="12"/>
    </row>
    <row r="228" spans="1:13" s="10" customFormat="1">
      <c r="A228" s="212"/>
      <c r="E228" s="99"/>
      <c r="F228" s="6"/>
      <c r="M228" s="12"/>
    </row>
    <row r="229" spans="1:13" s="161" customFormat="1" ht="12.75">
      <c r="A229" s="160"/>
      <c r="B229" s="161" t="s">
        <v>10</v>
      </c>
      <c r="E229" s="165" t="s">
        <v>270</v>
      </c>
      <c r="L229" s="162" t="s">
        <v>50</v>
      </c>
      <c r="M229" s="46">
        <f>SUM(M205:M226)</f>
        <v>32.255499999999998</v>
      </c>
    </row>
    <row r="230" spans="1:13" s="10" customFormat="1" ht="12.75">
      <c r="A230" s="5"/>
      <c r="L230" s="93"/>
      <c r="M230" s="14"/>
    </row>
    <row r="231" spans="1:13" s="10" customFormat="1" ht="26.25" customHeight="1">
      <c r="A231" s="38" t="str">
        <f>ORÇAMENTO!A35</f>
        <v>3.2.5</v>
      </c>
      <c r="B231" s="86"/>
      <c r="C231" s="388" t="str">
        <f>ORÇAMENTO!D35</f>
        <v>LASTRO DE BRITA COM PEDRA BRITADA NÚMERO 2 E 3, INCLUSIVE ADENSAMENTO E APILOAMENTO MANUAL</v>
      </c>
      <c r="D231" s="388"/>
      <c r="E231" s="388"/>
      <c r="F231" s="388"/>
      <c r="G231" s="388"/>
      <c r="H231" s="388"/>
      <c r="I231" s="388"/>
      <c r="J231" s="388"/>
      <c r="K231" s="388"/>
      <c r="L231" s="388"/>
      <c r="M231" s="47" t="str">
        <f>ORÇAMENTO!E35</f>
        <v>M3</v>
      </c>
    </row>
    <row r="232" spans="1:13" s="10" customFormat="1" ht="12.75">
      <c r="A232" s="5"/>
      <c r="M232" s="12"/>
    </row>
    <row r="233" spans="1:13" s="10" customFormat="1">
      <c r="A233" s="214"/>
      <c r="B233" s="10" t="s">
        <v>546</v>
      </c>
      <c r="D233" s="88" t="s">
        <v>50</v>
      </c>
      <c r="E233" s="89">
        <v>0.71499999999999997</v>
      </c>
      <c r="F233" s="95" t="s">
        <v>69</v>
      </c>
      <c r="G233" s="89">
        <v>2</v>
      </c>
      <c r="I233" s="165" t="s">
        <v>545</v>
      </c>
      <c r="J233" s="92"/>
      <c r="K233" s="92"/>
      <c r="L233" s="93" t="s">
        <v>50</v>
      </c>
      <c r="M233" s="13">
        <f>E233*G233</f>
        <v>1.43</v>
      </c>
    </row>
    <row r="234" spans="1:13" s="10" customFormat="1">
      <c r="A234" s="214"/>
      <c r="B234" s="10" t="s">
        <v>615</v>
      </c>
      <c r="E234" s="39" t="s">
        <v>71</v>
      </c>
      <c r="F234" s="6"/>
      <c r="G234" s="99" t="s">
        <v>380</v>
      </c>
      <c r="I234" s="165" t="s">
        <v>81</v>
      </c>
      <c r="M234" s="12"/>
    </row>
    <row r="235" spans="1:13" s="10" customFormat="1">
      <c r="A235" s="214"/>
      <c r="E235" s="99"/>
      <c r="F235" s="6"/>
      <c r="M235" s="12"/>
    </row>
    <row r="236" spans="1:13" s="10" customFormat="1">
      <c r="A236" s="214"/>
      <c r="B236" s="10" t="s">
        <v>547</v>
      </c>
      <c r="D236" s="88" t="s">
        <v>50</v>
      </c>
      <c r="E236" s="89">
        <v>0.71499999999999997</v>
      </c>
      <c r="F236" s="95" t="s">
        <v>69</v>
      </c>
      <c r="G236" s="89">
        <v>4</v>
      </c>
      <c r="I236" s="165" t="s">
        <v>545</v>
      </c>
      <c r="J236" s="92"/>
      <c r="K236" s="92"/>
      <c r="L236" s="93" t="s">
        <v>50</v>
      </c>
      <c r="M236" s="13">
        <f>E236*G236</f>
        <v>2.86</v>
      </c>
    </row>
    <row r="237" spans="1:13" s="10" customFormat="1">
      <c r="A237" s="214"/>
      <c r="B237" s="10" t="s">
        <v>615</v>
      </c>
      <c r="E237" s="39" t="s">
        <v>71</v>
      </c>
      <c r="F237" s="6"/>
      <c r="G237" s="99" t="s">
        <v>380</v>
      </c>
      <c r="I237" s="165" t="s">
        <v>81</v>
      </c>
      <c r="M237" s="12"/>
    </row>
    <row r="238" spans="1:13" s="10" customFormat="1">
      <c r="A238" s="214"/>
      <c r="E238" s="99"/>
      <c r="F238" s="6"/>
      <c r="M238" s="12"/>
    </row>
    <row r="239" spans="1:13" s="10" customFormat="1">
      <c r="A239" s="214"/>
      <c r="B239" s="10" t="s">
        <v>547</v>
      </c>
      <c r="D239" s="88" t="s">
        <v>50</v>
      </c>
      <c r="E239" s="89">
        <v>0.71499999999999997</v>
      </c>
      <c r="F239" s="95" t="s">
        <v>69</v>
      </c>
      <c r="G239" s="89">
        <v>8</v>
      </c>
      <c r="I239" s="161" t="s">
        <v>629</v>
      </c>
      <c r="J239" s="92"/>
      <c r="K239" s="92"/>
      <c r="L239" s="93" t="s">
        <v>50</v>
      </c>
      <c r="M239" s="13">
        <f>E239*G239</f>
        <v>5.72</v>
      </c>
    </row>
    <row r="240" spans="1:13" s="10" customFormat="1">
      <c r="A240" s="214"/>
      <c r="B240" s="10" t="s">
        <v>616</v>
      </c>
      <c r="E240" s="39" t="s">
        <v>71</v>
      </c>
      <c r="F240" s="6"/>
      <c r="G240" s="99" t="s">
        <v>380</v>
      </c>
      <c r="I240" s="165" t="s">
        <v>81</v>
      </c>
      <c r="M240" s="12"/>
    </row>
    <row r="241" spans="1:13" s="10" customFormat="1">
      <c r="A241" s="214"/>
      <c r="E241" s="99"/>
      <c r="F241" s="6"/>
      <c r="M241" s="12"/>
    </row>
    <row r="242" spans="1:13" s="10" customFormat="1">
      <c r="A242" s="214"/>
      <c r="B242" s="10" t="s">
        <v>619</v>
      </c>
      <c r="D242" s="88" t="s">
        <v>50</v>
      </c>
      <c r="E242" s="89">
        <f>1.1275</f>
        <v>1.1274999999999999</v>
      </c>
      <c r="F242" s="95" t="s">
        <v>69</v>
      </c>
      <c r="G242" s="89">
        <v>1</v>
      </c>
      <c r="I242" s="165" t="s">
        <v>545</v>
      </c>
      <c r="J242" s="92"/>
      <c r="K242" s="92"/>
      <c r="L242" s="93" t="s">
        <v>50</v>
      </c>
      <c r="M242" s="13">
        <f>E242*G242</f>
        <v>1.1274999999999999</v>
      </c>
    </row>
    <row r="243" spans="1:13" s="10" customFormat="1">
      <c r="A243" s="214"/>
      <c r="B243" s="10" t="s">
        <v>615</v>
      </c>
      <c r="E243" s="39" t="s">
        <v>71</v>
      </c>
      <c r="F243" s="6"/>
      <c r="G243" s="99" t="s">
        <v>380</v>
      </c>
      <c r="I243" s="165" t="s">
        <v>81</v>
      </c>
      <c r="M243" s="12"/>
    </row>
    <row r="244" spans="1:13" s="10" customFormat="1">
      <c r="A244" s="214"/>
      <c r="E244" s="99"/>
      <c r="F244" s="6"/>
      <c r="M244" s="12"/>
    </row>
    <row r="245" spans="1:13" s="10" customFormat="1">
      <c r="A245" s="214"/>
      <c r="B245" s="10" t="s">
        <v>620</v>
      </c>
      <c r="D245" s="88" t="s">
        <v>50</v>
      </c>
      <c r="E245" s="89">
        <v>1.1243000000000001</v>
      </c>
      <c r="F245" s="95" t="s">
        <v>69</v>
      </c>
      <c r="G245" s="89">
        <v>1</v>
      </c>
      <c r="I245" s="161" t="s">
        <v>629</v>
      </c>
      <c r="J245" s="92"/>
      <c r="K245" s="92"/>
      <c r="L245" s="93" t="s">
        <v>50</v>
      </c>
      <c r="M245" s="13">
        <f>E245*G245</f>
        <v>1.1243000000000001</v>
      </c>
    </row>
    <row r="246" spans="1:13" s="10" customFormat="1">
      <c r="A246" s="214"/>
      <c r="B246" s="10" t="s">
        <v>616</v>
      </c>
      <c r="E246" s="39" t="s">
        <v>71</v>
      </c>
      <c r="F246" s="6"/>
      <c r="G246" s="99" t="s">
        <v>380</v>
      </c>
      <c r="I246" s="165" t="s">
        <v>81</v>
      </c>
      <c r="M246" s="12"/>
    </row>
    <row r="247" spans="1:13" s="10" customFormat="1">
      <c r="A247" s="214"/>
      <c r="E247" s="99"/>
      <c r="F247" s="6"/>
      <c r="M247" s="12"/>
    </row>
    <row r="248" spans="1:13" s="10" customFormat="1">
      <c r="A248" s="214"/>
      <c r="B248" s="10" t="s">
        <v>617</v>
      </c>
      <c r="D248" s="88" t="s">
        <v>50</v>
      </c>
      <c r="E248" s="89">
        <v>0.30249999999999999</v>
      </c>
      <c r="F248" s="95" t="s">
        <v>69</v>
      </c>
      <c r="G248" s="89">
        <v>4</v>
      </c>
      <c r="I248" s="161" t="s">
        <v>629</v>
      </c>
      <c r="J248" s="92"/>
      <c r="K248" s="92"/>
      <c r="L248" s="93" t="s">
        <v>50</v>
      </c>
      <c r="M248" s="13">
        <f>E248*G248</f>
        <v>1.21</v>
      </c>
    </row>
    <row r="249" spans="1:13" s="10" customFormat="1">
      <c r="A249" s="214"/>
      <c r="B249" s="10" t="s">
        <v>616</v>
      </c>
      <c r="E249" s="39" t="s">
        <v>71</v>
      </c>
      <c r="F249" s="6"/>
      <c r="G249" s="99" t="s">
        <v>380</v>
      </c>
      <c r="I249" s="165" t="s">
        <v>81</v>
      </c>
      <c r="M249" s="12"/>
    </row>
    <row r="250" spans="1:13" s="10" customFormat="1">
      <c r="A250" s="214"/>
      <c r="E250" s="99"/>
      <c r="F250" s="6"/>
      <c r="M250" s="12"/>
    </row>
    <row r="251" spans="1:13" s="10" customFormat="1">
      <c r="A251" s="214"/>
      <c r="B251" s="10" t="s">
        <v>550</v>
      </c>
      <c r="D251" s="88" t="s">
        <v>50</v>
      </c>
      <c r="E251" s="89">
        <v>0.30249999999999999</v>
      </c>
      <c r="F251" s="95" t="s">
        <v>69</v>
      </c>
      <c r="G251" s="89">
        <v>1</v>
      </c>
      <c r="I251" s="165" t="s">
        <v>545</v>
      </c>
      <c r="J251" s="92"/>
      <c r="K251" s="92"/>
      <c r="L251" s="93" t="s">
        <v>50</v>
      </c>
      <c r="M251" s="13">
        <f>E251*G251</f>
        <v>0.30249999999999999</v>
      </c>
    </row>
    <row r="252" spans="1:13" s="10" customFormat="1">
      <c r="A252" s="214"/>
      <c r="B252" s="10" t="s">
        <v>615</v>
      </c>
      <c r="E252" s="39" t="s">
        <v>71</v>
      </c>
      <c r="F252" s="6"/>
      <c r="G252" s="99" t="s">
        <v>380</v>
      </c>
      <c r="I252" s="165" t="s">
        <v>81</v>
      </c>
      <c r="M252" s="12"/>
    </row>
    <row r="253" spans="1:13" s="10" customFormat="1">
      <c r="A253" s="214"/>
      <c r="E253" s="99"/>
      <c r="F253" s="6"/>
      <c r="M253" s="12"/>
    </row>
    <row r="254" spans="1:13" s="10" customFormat="1">
      <c r="A254" s="214"/>
      <c r="B254" s="10" t="s">
        <v>550</v>
      </c>
      <c r="D254" s="88" t="s">
        <v>50</v>
      </c>
      <c r="E254" s="89">
        <v>0.30249999999999999</v>
      </c>
      <c r="F254" s="95" t="s">
        <v>69</v>
      </c>
      <c r="G254" s="89">
        <v>8</v>
      </c>
      <c r="I254" s="161" t="s">
        <v>629</v>
      </c>
      <c r="J254" s="92"/>
      <c r="K254" s="92"/>
      <c r="L254" s="93" t="s">
        <v>50</v>
      </c>
      <c r="M254" s="13">
        <f>E254*G254</f>
        <v>2.42</v>
      </c>
    </row>
    <row r="255" spans="1:13" s="10" customFormat="1">
      <c r="A255" s="214"/>
      <c r="B255" s="10" t="s">
        <v>616</v>
      </c>
      <c r="E255" s="39" t="s">
        <v>71</v>
      </c>
      <c r="F255" s="6"/>
      <c r="G255" s="99" t="s">
        <v>380</v>
      </c>
      <c r="I255" s="165" t="s">
        <v>81</v>
      </c>
      <c r="M255" s="12"/>
    </row>
    <row r="256" spans="1:13" s="10" customFormat="1">
      <c r="A256" s="214"/>
      <c r="E256" s="99"/>
      <c r="F256" s="6"/>
      <c r="M256" s="12"/>
    </row>
    <row r="257" spans="1:13" s="161" customFormat="1" ht="12.75">
      <c r="A257" s="160"/>
      <c r="B257" s="161" t="s">
        <v>10</v>
      </c>
      <c r="E257" s="165" t="s">
        <v>317</v>
      </c>
      <c r="L257" s="162" t="s">
        <v>50</v>
      </c>
      <c r="M257" s="46">
        <f>SUM(M233:M254)*0.05</f>
        <v>0.80971499999999996</v>
      </c>
    </row>
    <row r="258" spans="1:13" s="10" customFormat="1" ht="12.75">
      <c r="A258" s="5"/>
      <c r="L258" s="93"/>
      <c r="M258" s="14"/>
    </row>
    <row r="259" spans="1:13" s="10" customFormat="1" ht="15" customHeight="1">
      <c r="A259" s="45" t="str">
        <f>ORÇAMENTO!A37</f>
        <v>3.3</v>
      </c>
      <c r="B259" s="96"/>
      <c r="C259" s="395" t="str">
        <f>ORÇAMENTO!C37</f>
        <v>VIGA BALDRAME</v>
      </c>
      <c r="D259" s="395"/>
      <c r="E259" s="395"/>
      <c r="F259" s="395"/>
      <c r="G259" s="395"/>
      <c r="H259" s="395"/>
      <c r="I259" s="395"/>
      <c r="J259" s="395"/>
      <c r="K259" s="395"/>
      <c r="L259" s="395"/>
      <c r="M259" s="396"/>
    </row>
    <row r="260" spans="1:13" s="10" customFormat="1" ht="12.75">
      <c r="A260" s="11"/>
      <c r="M260" s="12"/>
    </row>
    <row r="261" spans="1:13" s="10" customFormat="1" ht="26.25" customHeight="1">
      <c r="A261" s="38" t="str">
        <f>ORÇAMENTO!A38</f>
        <v>3.3.1</v>
      </c>
      <c r="B261" s="86"/>
      <c r="C261" s="388" t="str">
        <f>ORÇAMENTO!D38</f>
        <v>FORNECIMENTO DE CONCRETO ESTRUTURAL, USINADO BOMBEADO, COM FCK 25 MPA, INCLUSIVE LANÇAMENTO, ADENSAMENTO E ACABAMENTO</v>
      </c>
      <c r="D261" s="388"/>
      <c r="E261" s="388"/>
      <c r="F261" s="388"/>
      <c r="G261" s="388"/>
      <c r="H261" s="388"/>
      <c r="I261" s="388"/>
      <c r="J261" s="388"/>
      <c r="K261" s="388"/>
      <c r="L261" s="388"/>
      <c r="M261" s="47" t="str">
        <f>ORÇAMENTO!E38</f>
        <v>M3</v>
      </c>
    </row>
    <row r="262" spans="1:13" s="10" customFormat="1" ht="12.75">
      <c r="A262" s="5"/>
      <c r="M262" s="12"/>
    </row>
    <row r="263" spans="1:13" s="10" customFormat="1" ht="12.75">
      <c r="A263" s="5"/>
      <c r="B263" s="87" t="s">
        <v>137</v>
      </c>
      <c r="D263" s="88" t="s">
        <v>50</v>
      </c>
      <c r="E263" s="89">
        <v>2.74</v>
      </c>
      <c r="F263" s="90"/>
      <c r="G263" s="94"/>
      <c r="I263" s="161" t="s">
        <v>549</v>
      </c>
      <c r="J263" s="92"/>
      <c r="K263" s="92"/>
      <c r="L263" s="93" t="s">
        <v>50</v>
      </c>
      <c r="M263" s="13">
        <f>E263</f>
        <v>2.74</v>
      </c>
    </row>
    <row r="264" spans="1:13" s="10" customFormat="1">
      <c r="A264" s="5"/>
      <c r="B264" s="10" t="s">
        <v>615</v>
      </c>
      <c r="E264" s="39" t="s">
        <v>53</v>
      </c>
      <c r="F264" s="6"/>
      <c r="I264" s="10" t="s">
        <v>149</v>
      </c>
      <c r="M264" s="12"/>
    </row>
    <row r="265" spans="1:13" s="10" customFormat="1">
      <c r="A265" s="5"/>
      <c r="E265" s="39"/>
      <c r="F265" s="6"/>
      <c r="M265" s="12"/>
    </row>
    <row r="266" spans="1:13" s="10" customFormat="1" ht="12.75">
      <c r="A266" s="214"/>
      <c r="B266" s="87" t="s">
        <v>137</v>
      </c>
      <c r="D266" s="88" t="s">
        <v>50</v>
      </c>
      <c r="E266" s="89">
        <v>6.15</v>
      </c>
      <c r="F266" s="215"/>
      <c r="G266" s="94"/>
      <c r="I266" s="161" t="s">
        <v>631</v>
      </c>
      <c r="J266" s="92"/>
      <c r="K266" s="92"/>
      <c r="L266" s="93" t="s">
        <v>50</v>
      </c>
      <c r="M266" s="13">
        <f>E266</f>
        <v>6.15</v>
      </c>
    </row>
    <row r="267" spans="1:13" s="10" customFormat="1">
      <c r="A267" s="214"/>
      <c r="B267" s="10" t="s">
        <v>616</v>
      </c>
      <c r="E267" s="39" t="s">
        <v>53</v>
      </c>
      <c r="F267" s="6"/>
      <c r="I267" s="10" t="s">
        <v>149</v>
      </c>
      <c r="M267" s="12"/>
    </row>
    <row r="268" spans="1:13" s="10" customFormat="1">
      <c r="A268" s="214"/>
      <c r="E268" s="39"/>
      <c r="F268" s="6"/>
      <c r="M268" s="12"/>
    </row>
    <row r="269" spans="1:13" s="161" customFormat="1" ht="12.75">
      <c r="A269" s="163"/>
      <c r="B269" s="161" t="s">
        <v>10</v>
      </c>
      <c r="L269" s="162" t="s">
        <v>50</v>
      </c>
      <c r="M269" s="46">
        <f>SUM(M263:M266)</f>
        <v>8.89</v>
      </c>
    </row>
    <row r="270" spans="1:13" s="10" customFormat="1" ht="12.75">
      <c r="A270" s="11"/>
      <c r="L270" s="93"/>
      <c r="M270" s="14"/>
    </row>
    <row r="271" spans="1:13" s="10" customFormat="1" ht="26.25" customHeight="1">
      <c r="A271" s="38" t="str">
        <f>ORÇAMENTO!A39</f>
        <v>3.3.2</v>
      </c>
      <c r="B271" s="86"/>
      <c r="C271" s="388" t="str">
        <f>ORÇAMENTO!D39</f>
        <v>FORMA E DESFORMA DE COMPENSADO RESINADO, ESP. 12 MM, REAPROVEITAMENTO (3X) (FUNDAÇÃO)</v>
      </c>
      <c r="D271" s="388"/>
      <c r="E271" s="388"/>
      <c r="F271" s="388"/>
      <c r="G271" s="388"/>
      <c r="H271" s="388"/>
      <c r="I271" s="388"/>
      <c r="J271" s="388"/>
      <c r="K271" s="388"/>
      <c r="L271" s="388"/>
      <c r="M271" s="47" t="str">
        <f>ORÇAMENTO!E39</f>
        <v>M2</v>
      </c>
    </row>
    <row r="272" spans="1:13" s="10" customFormat="1" ht="12.75">
      <c r="A272" s="5"/>
      <c r="M272" s="12"/>
    </row>
    <row r="273" spans="1:13" s="10" customFormat="1" ht="12.75">
      <c r="A273" s="5"/>
      <c r="B273" s="87" t="s">
        <v>137</v>
      </c>
      <c r="D273" s="88" t="s">
        <v>50</v>
      </c>
      <c r="E273" s="89">
        <v>34.29</v>
      </c>
      <c r="F273" s="90"/>
      <c r="G273" s="94"/>
      <c r="I273" s="161" t="s">
        <v>549</v>
      </c>
      <c r="J273" s="92"/>
      <c r="K273" s="92"/>
      <c r="L273" s="93" t="s">
        <v>50</v>
      </c>
      <c r="M273" s="13">
        <f>E273</f>
        <v>34.29</v>
      </c>
    </row>
    <row r="274" spans="1:13" s="10" customFormat="1">
      <c r="A274" s="5"/>
      <c r="B274" s="10" t="s">
        <v>615</v>
      </c>
      <c r="E274" s="39" t="s">
        <v>51</v>
      </c>
      <c r="F274" s="6"/>
      <c r="I274" s="10" t="s">
        <v>149</v>
      </c>
      <c r="M274" s="12"/>
    </row>
    <row r="275" spans="1:13" s="10" customFormat="1">
      <c r="A275" s="5"/>
      <c r="E275" s="39"/>
      <c r="F275" s="6"/>
      <c r="M275" s="12"/>
    </row>
    <row r="276" spans="1:13" s="10" customFormat="1" ht="12.75">
      <c r="A276" s="214"/>
      <c r="B276" s="87" t="s">
        <v>137</v>
      </c>
      <c r="D276" s="88" t="s">
        <v>50</v>
      </c>
      <c r="E276" s="89">
        <v>82.55</v>
      </c>
      <c r="F276" s="215"/>
      <c r="G276" s="94"/>
      <c r="I276" s="161" t="s">
        <v>631</v>
      </c>
      <c r="J276" s="92"/>
      <c r="K276" s="92"/>
      <c r="L276" s="93" t="s">
        <v>50</v>
      </c>
      <c r="M276" s="13">
        <f>E276</f>
        <v>82.55</v>
      </c>
    </row>
    <row r="277" spans="1:13" s="10" customFormat="1">
      <c r="A277" s="214"/>
      <c r="B277" s="10" t="s">
        <v>616</v>
      </c>
      <c r="E277" s="39" t="s">
        <v>51</v>
      </c>
      <c r="F277" s="6"/>
      <c r="I277" s="10" t="s">
        <v>149</v>
      </c>
      <c r="M277" s="12"/>
    </row>
    <row r="278" spans="1:13" s="10" customFormat="1">
      <c r="A278" s="214"/>
      <c r="E278" s="39"/>
      <c r="F278" s="6"/>
      <c r="M278" s="12"/>
    </row>
    <row r="279" spans="1:13" s="161" customFormat="1" ht="12.75">
      <c r="A279" s="163"/>
      <c r="B279" s="161" t="s">
        <v>10</v>
      </c>
      <c r="L279" s="162" t="s">
        <v>50</v>
      </c>
      <c r="M279" s="46">
        <f>SUM(M273:M276)</f>
        <v>116.84</v>
      </c>
    </row>
    <row r="280" spans="1:13" s="10" customFormat="1" ht="12.75">
      <c r="A280" s="11"/>
      <c r="L280" s="93"/>
      <c r="M280" s="14"/>
    </row>
    <row r="281" spans="1:13" s="10" customFormat="1" ht="26.25" customHeight="1">
      <c r="A281" s="38" t="str">
        <f>ORÇAMENTO!A40</f>
        <v>3.3.3</v>
      </c>
      <c r="B281" s="86"/>
      <c r="C281" s="388" t="str">
        <f>ORÇAMENTO!D40</f>
        <v>CORTE, DOBRA E MONTAGEM DE AÇO CA-50/60</v>
      </c>
      <c r="D281" s="388"/>
      <c r="E281" s="388"/>
      <c r="F281" s="388"/>
      <c r="G281" s="388"/>
      <c r="H281" s="388"/>
      <c r="I281" s="388"/>
      <c r="J281" s="388"/>
      <c r="K281" s="388"/>
      <c r="L281" s="388"/>
      <c r="M281" s="47" t="str">
        <f>ORÇAMENTO!E40</f>
        <v>KG</v>
      </c>
    </row>
    <row r="282" spans="1:13" s="10" customFormat="1" ht="12.75">
      <c r="A282" s="5"/>
      <c r="M282" s="12"/>
    </row>
    <row r="283" spans="1:13" s="10" customFormat="1" ht="12.75">
      <c r="A283" s="5"/>
      <c r="B283" s="87" t="s">
        <v>137</v>
      </c>
      <c r="D283" s="88" t="s">
        <v>50</v>
      </c>
      <c r="E283" s="89">
        <f>68.3+36.3</f>
        <v>104.6</v>
      </c>
      <c r="F283" s="90"/>
      <c r="G283" s="94"/>
      <c r="I283" s="161" t="s">
        <v>549</v>
      </c>
      <c r="J283" s="92"/>
      <c r="K283" s="92"/>
      <c r="L283" s="93" t="s">
        <v>50</v>
      </c>
      <c r="M283" s="13">
        <f>E283</f>
        <v>104.6</v>
      </c>
    </row>
    <row r="284" spans="1:13" s="10" customFormat="1" ht="12.75">
      <c r="A284" s="5"/>
      <c r="B284" s="10" t="s">
        <v>615</v>
      </c>
      <c r="E284" s="39" t="s">
        <v>70</v>
      </c>
      <c r="I284" s="10" t="s">
        <v>149</v>
      </c>
      <c r="M284" s="12"/>
    </row>
    <row r="285" spans="1:13" s="10" customFormat="1">
      <c r="A285" s="5"/>
      <c r="E285" s="39"/>
      <c r="F285" s="6"/>
      <c r="M285" s="12"/>
    </row>
    <row r="286" spans="1:13" s="10" customFormat="1" ht="12.75">
      <c r="A286" s="214"/>
      <c r="B286" s="87" t="s">
        <v>137</v>
      </c>
      <c r="D286" s="88" t="s">
        <v>50</v>
      </c>
      <c r="E286" s="89">
        <f>195.1+112.3</f>
        <v>307.39999999999998</v>
      </c>
      <c r="F286" s="215"/>
      <c r="G286" s="94"/>
      <c r="I286" s="161" t="s">
        <v>631</v>
      </c>
      <c r="J286" s="92"/>
      <c r="K286" s="92"/>
      <c r="L286" s="93" t="s">
        <v>50</v>
      </c>
      <c r="M286" s="13">
        <f>E286</f>
        <v>307.39999999999998</v>
      </c>
    </row>
    <row r="287" spans="1:13" s="10" customFormat="1" ht="12.75">
      <c r="A287" s="214"/>
      <c r="B287" s="10" t="s">
        <v>616</v>
      </c>
      <c r="E287" s="39" t="s">
        <v>70</v>
      </c>
      <c r="I287" s="10" t="s">
        <v>149</v>
      </c>
      <c r="M287" s="12"/>
    </row>
    <row r="288" spans="1:13" s="10" customFormat="1">
      <c r="A288" s="214"/>
      <c r="E288" s="39"/>
      <c r="F288" s="6"/>
      <c r="M288" s="12"/>
    </row>
    <row r="289" spans="1:13" s="161" customFormat="1" ht="12.75">
      <c r="A289" s="163"/>
      <c r="B289" s="161" t="s">
        <v>10</v>
      </c>
      <c r="L289" s="162" t="s">
        <v>50</v>
      </c>
      <c r="M289" s="46">
        <f>SUM(M283:M286)</f>
        <v>412</v>
      </c>
    </row>
    <row r="290" spans="1:13" s="10" customFormat="1" ht="12.75">
      <c r="A290" s="11"/>
      <c r="L290" s="93"/>
      <c r="M290" s="14"/>
    </row>
    <row r="291" spans="1:13" s="10" customFormat="1" ht="26.25" customHeight="1">
      <c r="A291" s="38" t="str">
        <f>ORÇAMENTO!A41</f>
        <v>3.3.4</v>
      </c>
      <c r="B291" s="86"/>
      <c r="C291" s="388" t="str">
        <f>ORÇAMENTO!D41</f>
        <v>APILOAMENTO DO FUNDO DE VALAS COM PLACA</v>
      </c>
      <c r="D291" s="388"/>
      <c r="E291" s="388"/>
      <c r="F291" s="388"/>
      <c r="G291" s="388"/>
      <c r="H291" s="388"/>
      <c r="I291" s="388"/>
      <c r="J291" s="388"/>
      <c r="K291" s="388"/>
      <c r="L291" s="388"/>
      <c r="M291" s="47" t="str">
        <f>ORÇAMENTO!E41</f>
        <v>M2</v>
      </c>
    </row>
    <row r="292" spans="1:13" s="10" customFormat="1" ht="12.75">
      <c r="A292" s="5"/>
      <c r="M292" s="12"/>
    </row>
    <row r="293" spans="1:13" s="10" customFormat="1">
      <c r="A293" s="5"/>
      <c r="B293" s="10" t="s">
        <v>191</v>
      </c>
      <c r="D293" s="88" t="s">
        <v>50</v>
      </c>
      <c r="E293" s="89">
        <f>28.3098+4.8099</f>
        <v>33.119700000000002</v>
      </c>
      <c r="F293" s="95" t="s">
        <v>69</v>
      </c>
      <c r="G293" s="89">
        <f>0.15+0.2+0.15</f>
        <v>0.5</v>
      </c>
      <c r="I293" s="161" t="s">
        <v>545</v>
      </c>
      <c r="J293" s="92"/>
      <c r="K293" s="92"/>
      <c r="L293" s="93" t="s">
        <v>50</v>
      </c>
      <c r="M293" s="13">
        <f>E293*G293</f>
        <v>16.559850000000001</v>
      </c>
    </row>
    <row r="294" spans="1:13" s="10" customFormat="1">
      <c r="A294" s="5"/>
      <c r="B294" s="10" t="s">
        <v>615</v>
      </c>
      <c r="E294" s="99" t="s">
        <v>120</v>
      </c>
      <c r="F294" s="6"/>
      <c r="G294" s="39" t="s">
        <v>271</v>
      </c>
      <c r="I294" s="10" t="s">
        <v>149</v>
      </c>
      <c r="M294" s="12"/>
    </row>
    <row r="295" spans="1:13" s="10" customFormat="1">
      <c r="A295" s="5"/>
      <c r="E295" s="39"/>
      <c r="F295" s="6"/>
      <c r="M295" s="12"/>
    </row>
    <row r="296" spans="1:13" s="10" customFormat="1">
      <c r="A296" s="214"/>
      <c r="B296" s="10" t="s">
        <v>191</v>
      </c>
      <c r="D296" s="88" t="s">
        <v>50</v>
      </c>
      <c r="E296" s="89">
        <f>35.69+2.721+1.7346+5.1496+35.5095+11.808</f>
        <v>92.61269999999999</v>
      </c>
      <c r="F296" s="95" t="s">
        <v>69</v>
      </c>
      <c r="G296" s="89">
        <f>0.15+0.2+0.15</f>
        <v>0.5</v>
      </c>
      <c r="I296" s="161" t="s">
        <v>631</v>
      </c>
      <c r="J296" s="92"/>
      <c r="K296" s="92"/>
      <c r="L296" s="93" t="s">
        <v>50</v>
      </c>
      <c r="M296" s="13">
        <f>E296*G296</f>
        <v>46.306349999999995</v>
      </c>
    </row>
    <row r="297" spans="1:13" s="10" customFormat="1">
      <c r="A297" s="214"/>
      <c r="B297" s="10" t="s">
        <v>616</v>
      </c>
      <c r="E297" s="99" t="s">
        <v>120</v>
      </c>
      <c r="F297" s="6"/>
      <c r="G297" s="39" t="s">
        <v>271</v>
      </c>
      <c r="I297" s="10" t="s">
        <v>149</v>
      </c>
      <c r="M297" s="12"/>
    </row>
    <row r="298" spans="1:13" s="10" customFormat="1">
      <c r="A298" s="214"/>
      <c r="E298" s="39"/>
      <c r="F298" s="6"/>
      <c r="M298" s="12"/>
    </row>
    <row r="299" spans="1:13" s="161" customFormat="1" ht="12.75">
      <c r="A299" s="163"/>
      <c r="B299" s="161" t="s">
        <v>10</v>
      </c>
      <c r="E299" s="165" t="s">
        <v>624</v>
      </c>
      <c r="L299" s="162" t="s">
        <v>50</v>
      </c>
      <c r="M299" s="46">
        <f>SUM(M293:M296)</f>
        <v>62.866199999999992</v>
      </c>
    </row>
    <row r="300" spans="1:13" s="10" customFormat="1" ht="12.75">
      <c r="A300" s="11"/>
      <c r="L300" s="93"/>
      <c r="M300" s="14"/>
    </row>
    <row r="301" spans="1:13" s="10" customFormat="1" ht="26.25" customHeight="1">
      <c r="A301" s="38" t="str">
        <f>ORÇAMENTO!A42</f>
        <v>3.3.5</v>
      </c>
      <c r="B301" s="86"/>
      <c r="C301" s="388" t="str">
        <f>ORÇAMENTO!D42</f>
        <v>LASTRO DE BRITA COM PEDRA BRITADA NÚMERO 2 E 3, INCLUSIVE ADENSAMENTO E APILOAMENTO MANUAL</v>
      </c>
      <c r="D301" s="388"/>
      <c r="E301" s="388"/>
      <c r="F301" s="388"/>
      <c r="G301" s="388"/>
      <c r="H301" s="388"/>
      <c r="I301" s="388"/>
      <c r="J301" s="388"/>
      <c r="K301" s="388"/>
      <c r="L301" s="388"/>
      <c r="M301" s="47" t="str">
        <f>ORÇAMENTO!E42</f>
        <v>M3</v>
      </c>
    </row>
    <row r="302" spans="1:13" s="10" customFormat="1" ht="12.75">
      <c r="A302" s="5"/>
      <c r="M302" s="12"/>
    </row>
    <row r="303" spans="1:13" s="10" customFormat="1" ht="12.75">
      <c r="A303" s="5"/>
      <c r="B303" s="87" t="s">
        <v>191</v>
      </c>
      <c r="D303" s="88" t="s">
        <v>50</v>
      </c>
      <c r="E303" s="89">
        <f>28.3098+4.8099</f>
        <v>33.119700000000002</v>
      </c>
      <c r="F303" s="90" t="s">
        <v>69</v>
      </c>
      <c r="G303" s="89">
        <v>0.2</v>
      </c>
      <c r="I303" s="161" t="s">
        <v>545</v>
      </c>
      <c r="J303" s="92"/>
      <c r="K303" s="92"/>
      <c r="L303" s="93" t="s">
        <v>50</v>
      </c>
      <c r="M303" s="13">
        <f>E303*G303</f>
        <v>6.623940000000001</v>
      </c>
    </row>
    <row r="304" spans="1:13" s="10" customFormat="1" ht="12.75">
      <c r="A304" s="5"/>
      <c r="B304" s="10" t="s">
        <v>615</v>
      </c>
      <c r="E304" s="39" t="s">
        <v>120</v>
      </c>
      <c r="G304" s="39" t="s">
        <v>271</v>
      </c>
      <c r="I304" s="10" t="s">
        <v>149</v>
      </c>
      <c r="M304" s="12"/>
    </row>
    <row r="305" spans="1:13" s="10" customFormat="1">
      <c r="A305" s="5"/>
      <c r="E305" s="39"/>
      <c r="F305" s="6"/>
      <c r="M305" s="12"/>
    </row>
    <row r="306" spans="1:13" s="10" customFormat="1" ht="12.75">
      <c r="A306" s="214"/>
      <c r="B306" s="10" t="s">
        <v>191</v>
      </c>
      <c r="D306" s="88" t="s">
        <v>50</v>
      </c>
      <c r="E306" s="89">
        <f>35.69+2.721+1.7346+5.1496+35.5095+11.808</f>
        <v>92.61269999999999</v>
      </c>
      <c r="F306" s="215" t="s">
        <v>69</v>
      </c>
      <c r="G306" s="89">
        <v>0.2</v>
      </c>
      <c r="I306" s="161" t="s">
        <v>631</v>
      </c>
      <c r="J306" s="92"/>
      <c r="K306" s="92"/>
      <c r="L306" s="93" t="s">
        <v>50</v>
      </c>
      <c r="M306" s="13">
        <f>E306*G306</f>
        <v>18.522539999999999</v>
      </c>
    </row>
    <row r="307" spans="1:13" s="10" customFormat="1" ht="12.75">
      <c r="A307" s="214"/>
      <c r="B307" s="10" t="s">
        <v>616</v>
      </c>
      <c r="E307" s="99" t="s">
        <v>120</v>
      </c>
      <c r="G307" s="39" t="s">
        <v>271</v>
      </c>
      <c r="I307" s="165" t="s">
        <v>439</v>
      </c>
      <c r="M307" s="12"/>
    </row>
    <row r="308" spans="1:13" s="10" customFormat="1">
      <c r="A308" s="214"/>
      <c r="E308" s="99"/>
      <c r="F308" s="6"/>
      <c r="M308" s="12"/>
    </row>
    <row r="309" spans="1:13" s="161" customFormat="1" ht="12.75">
      <c r="A309" s="163"/>
      <c r="B309" s="161" t="s">
        <v>10</v>
      </c>
      <c r="E309" s="168" t="s">
        <v>122</v>
      </c>
      <c r="L309" s="162" t="s">
        <v>50</v>
      </c>
      <c r="M309" s="46">
        <f>SUM(M303:M306)*0.05</f>
        <v>1.2573240000000001</v>
      </c>
    </row>
    <row r="310" spans="1:13" s="10" customFormat="1" ht="12.75">
      <c r="A310" s="11"/>
      <c r="L310" s="93"/>
      <c r="M310" s="14"/>
    </row>
    <row r="311" spans="1:13" s="10" customFormat="1" ht="15">
      <c r="A311" s="16" t="str">
        <f>ORÇAMENTO!A45</f>
        <v>4.</v>
      </c>
      <c r="B311" s="85"/>
      <c r="C311" s="384" t="str">
        <f>ORÇAMENTO!B45</f>
        <v>SUPERESTRUTURA</v>
      </c>
      <c r="D311" s="384"/>
      <c r="E311" s="384"/>
      <c r="F311" s="384"/>
      <c r="G311" s="384"/>
      <c r="H311" s="384"/>
      <c r="I311" s="384"/>
      <c r="J311" s="384"/>
      <c r="K311" s="384"/>
      <c r="L311" s="384"/>
      <c r="M311" s="385"/>
    </row>
    <row r="312" spans="1:13" s="10" customFormat="1" ht="12.75">
      <c r="A312" s="5"/>
      <c r="B312" s="87"/>
      <c r="D312" s="88"/>
      <c r="E312" s="91"/>
      <c r="F312" s="90"/>
      <c r="G312" s="91"/>
      <c r="H312" s="90"/>
      <c r="I312" s="90"/>
      <c r="J312" s="92"/>
      <c r="K312" s="92"/>
      <c r="L312" s="93"/>
      <c r="M312" s="14"/>
    </row>
    <row r="313" spans="1:13" s="10" customFormat="1" ht="12.75">
      <c r="A313" s="53" t="str">
        <f>ORÇAMENTO!A46</f>
        <v>4.1</v>
      </c>
      <c r="B313" s="97"/>
      <c r="C313" s="393" t="str">
        <f>ORÇAMENTO!C46</f>
        <v>PILAR</v>
      </c>
      <c r="D313" s="393"/>
      <c r="E313" s="393"/>
      <c r="F313" s="393"/>
      <c r="G313" s="393"/>
      <c r="H313" s="393"/>
      <c r="I313" s="393"/>
      <c r="J313" s="393"/>
      <c r="K313" s="393"/>
      <c r="L313" s="393"/>
      <c r="M313" s="394"/>
    </row>
    <row r="314" spans="1:13" s="10" customFormat="1" ht="12.75">
      <c r="A314" s="5"/>
      <c r="B314" s="87"/>
      <c r="D314" s="88"/>
      <c r="E314" s="91"/>
      <c r="F314" s="90"/>
      <c r="G314" s="91"/>
      <c r="H314" s="90"/>
      <c r="I314" s="90"/>
      <c r="J314" s="92"/>
      <c r="K314" s="92"/>
      <c r="L314" s="93"/>
      <c r="M314" s="14"/>
    </row>
    <row r="315" spans="1:13" s="10" customFormat="1" ht="26.25" customHeight="1">
      <c r="A315" s="38" t="str">
        <f>ORÇAMENTO!A47</f>
        <v>4.1.1</v>
      </c>
      <c r="B315" s="86"/>
      <c r="C315" s="388" t="str">
        <f>ORÇAMENTO!D47</f>
        <v>CONCRETAGEM DE PILARES, FCK = 25 MPA, COM USO DE BOMBA - LANÇAMENTO, ADENSAMENTO E ACABAMENTO. AF_02/2022_PS</v>
      </c>
      <c r="D315" s="388"/>
      <c r="E315" s="388"/>
      <c r="F315" s="388"/>
      <c r="G315" s="388"/>
      <c r="H315" s="388"/>
      <c r="I315" s="388"/>
      <c r="J315" s="388"/>
      <c r="K315" s="388"/>
      <c r="L315" s="388"/>
      <c r="M315" s="47" t="str">
        <f>ORÇAMENTO!E47</f>
        <v>M3</v>
      </c>
    </row>
    <row r="316" spans="1:13" s="10" customFormat="1" ht="12.75">
      <c r="A316" s="5"/>
      <c r="M316" s="12"/>
    </row>
    <row r="317" spans="1:13" s="10" customFormat="1" ht="12.75">
      <c r="A317" s="5"/>
      <c r="B317" s="87" t="s">
        <v>74</v>
      </c>
      <c r="D317" s="88" t="s">
        <v>50</v>
      </c>
      <c r="E317" s="89">
        <v>2.66</v>
      </c>
      <c r="F317" s="90"/>
      <c r="G317" s="94"/>
      <c r="I317" s="161" t="s">
        <v>552</v>
      </c>
      <c r="J317" s="92"/>
      <c r="K317" s="92"/>
      <c r="L317" s="93" t="s">
        <v>50</v>
      </c>
      <c r="M317" s="13">
        <f>E317</f>
        <v>2.66</v>
      </c>
    </row>
    <row r="318" spans="1:13" s="10" customFormat="1" ht="12.75">
      <c r="A318" s="5"/>
      <c r="B318" s="10" t="s">
        <v>615</v>
      </c>
      <c r="E318" s="39" t="s">
        <v>53</v>
      </c>
      <c r="M318" s="12"/>
    </row>
    <row r="319" spans="1:13" s="10" customFormat="1">
      <c r="A319" s="5"/>
      <c r="E319" s="39"/>
      <c r="F319" s="6"/>
      <c r="M319" s="12"/>
    </row>
    <row r="320" spans="1:13" s="10" customFormat="1" ht="12.75">
      <c r="A320" s="214"/>
      <c r="B320" s="87" t="s">
        <v>74</v>
      </c>
      <c r="D320" s="88" t="s">
        <v>50</v>
      </c>
      <c r="E320" s="89">
        <v>4.51</v>
      </c>
      <c r="F320" s="215"/>
      <c r="G320" s="94"/>
      <c r="I320" s="161" t="s">
        <v>632</v>
      </c>
      <c r="J320" s="92"/>
      <c r="K320" s="92"/>
      <c r="L320" s="93" t="s">
        <v>50</v>
      </c>
      <c r="M320" s="13">
        <f>E320</f>
        <v>4.51</v>
      </c>
    </row>
    <row r="321" spans="1:13" s="10" customFormat="1" ht="12.75">
      <c r="A321" s="214"/>
      <c r="B321" s="10" t="s">
        <v>616</v>
      </c>
      <c r="E321" s="39" t="s">
        <v>53</v>
      </c>
      <c r="M321" s="12"/>
    </row>
    <row r="322" spans="1:13" s="10" customFormat="1">
      <c r="A322" s="214"/>
      <c r="E322" s="39"/>
      <c r="F322" s="6"/>
      <c r="M322" s="12"/>
    </row>
    <row r="323" spans="1:13" s="161" customFormat="1" ht="12.75">
      <c r="A323" s="160"/>
      <c r="B323" s="161" t="s">
        <v>10</v>
      </c>
      <c r="L323" s="162" t="s">
        <v>50</v>
      </c>
      <c r="M323" s="46">
        <f>SUM(M317:M320)</f>
        <v>7.17</v>
      </c>
    </row>
    <row r="324" spans="1:13" s="10" customFormat="1" ht="12.75">
      <c r="A324" s="5"/>
      <c r="B324" s="87"/>
      <c r="D324" s="88"/>
      <c r="E324" s="91"/>
      <c r="F324" s="90"/>
      <c r="G324" s="91"/>
      <c r="H324" s="90"/>
      <c r="I324" s="90"/>
      <c r="J324" s="92"/>
      <c r="K324" s="92"/>
      <c r="L324" s="93"/>
      <c r="M324" s="14"/>
    </row>
    <row r="325" spans="1:13" s="10" customFormat="1" ht="26.25" customHeight="1">
      <c r="A325" s="38" t="str">
        <f>ORÇAMENTO!A48</f>
        <v>4.1.2</v>
      </c>
      <c r="B325" s="86"/>
      <c r="C325" s="388" t="str">
        <f>ORÇAMENTO!D48</f>
        <v>MONTAGEM E DESMONTAGEM DE FÔRMA DE PILARES RETANGULARES E ESTRUTURAS SIMILARES, PÉ-DIREITO SIMPLES, EM CHAPA DE MADEIRA COMPENSADA RESINADA, 8 UTILIZAÇÕES. AF_09/2020</v>
      </c>
      <c r="D325" s="388"/>
      <c r="E325" s="388"/>
      <c r="F325" s="388"/>
      <c r="G325" s="388"/>
      <c r="H325" s="388"/>
      <c r="I325" s="388"/>
      <c r="J325" s="388"/>
      <c r="K325" s="388"/>
      <c r="L325" s="388"/>
      <c r="M325" s="47" t="str">
        <f>ORÇAMENTO!E48</f>
        <v>M2</v>
      </c>
    </row>
    <row r="326" spans="1:13" s="10" customFormat="1" ht="12.75">
      <c r="A326" s="5"/>
      <c r="M326" s="12"/>
    </row>
    <row r="327" spans="1:13" s="10" customFormat="1" ht="12.75">
      <c r="A327" s="5"/>
      <c r="B327" s="87" t="s">
        <v>74</v>
      </c>
      <c r="D327" s="88" t="s">
        <v>50</v>
      </c>
      <c r="E327" s="89">
        <v>44.15</v>
      </c>
      <c r="F327" s="90"/>
      <c r="G327" s="94"/>
      <c r="I327" s="161" t="s">
        <v>552</v>
      </c>
      <c r="J327" s="92"/>
      <c r="K327" s="92"/>
      <c r="L327" s="93" t="s">
        <v>50</v>
      </c>
      <c r="M327" s="13">
        <f>E327</f>
        <v>44.15</v>
      </c>
    </row>
    <row r="328" spans="1:13" s="10" customFormat="1" ht="12.75">
      <c r="A328" s="5"/>
      <c r="B328" s="10" t="s">
        <v>615</v>
      </c>
      <c r="E328" s="39" t="s">
        <v>51</v>
      </c>
      <c r="M328" s="12"/>
    </row>
    <row r="329" spans="1:13" s="10" customFormat="1">
      <c r="A329" s="5"/>
      <c r="E329" s="39"/>
      <c r="F329" s="6"/>
      <c r="M329" s="12"/>
    </row>
    <row r="330" spans="1:13" s="10" customFormat="1" ht="12.75">
      <c r="A330" s="214"/>
      <c r="B330" s="87" t="s">
        <v>74</v>
      </c>
      <c r="D330" s="88" t="s">
        <v>50</v>
      </c>
      <c r="E330" s="89">
        <v>77.42</v>
      </c>
      <c r="F330" s="215"/>
      <c r="G330" s="94"/>
      <c r="I330" s="161" t="s">
        <v>632</v>
      </c>
      <c r="J330" s="92"/>
      <c r="K330" s="92"/>
      <c r="L330" s="93" t="s">
        <v>50</v>
      </c>
      <c r="M330" s="13">
        <f>E330</f>
        <v>77.42</v>
      </c>
    </row>
    <row r="331" spans="1:13" s="10" customFormat="1" ht="12.75">
      <c r="A331" s="214"/>
      <c r="B331" s="10" t="s">
        <v>616</v>
      </c>
      <c r="E331" s="39" t="s">
        <v>51</v>
      </c>
      <c r="M331" s="12"/>
    </row>
    <row r="332" spans="1:13" s="10" customFormat="1">
      <c r="A332" s="214"/>
      <c r="E332" s="39"/>
      <c r="F332" s="6"/>
      <c r="M332" s="12"/>
    </row>
    <row r="333" spans="1:13" s="161" customFormat="1" ht="12.75">
      <c r="A333" s="160"/>
      <c r="B333" s="161" t="s">
        <v>10</v>
      </c>
      <c r="L333" s="162" t="s">
        <v>50</v>
      </c>
      <c r="M333" s="46">
        <f>SUM(M327:M330)</f>
        <v>121.57</v>
      </c>
    </row>
    <row r="334" spans="1:13" s="10" customFormat="1" ht="12.75">
      <c r="A334" s="5"/>
      <c r="B334" s="87"/>
      <c r="D334" s="88"/>
      <c r="E334" s="91"/>
      <c r="F334" s="90"/>
      <c r="G334" s="91"/>
      <c r="H334" s="90"/>
      <c r="I334" s="90"/>
      <c r="J334" s="92"/>
      <c r="K334" s="92"/>
      <c r="L334" s="93"/>
      <c r="M334" s="14"/>
    </row>
    <row r="335" spans="1:13" s="10" customFormat="1" ht="26.25" customHeight="1">
      <c r="A335" s="38" t="str">
        <f>ORÇAMENTO!A49</f>
        <v>4.1.3</v>
      </c>
      <c r="B335" s="86"/>
      <c r="C335" s="388" t="str">
        <f>ORÇAMENTO!D49</f>
        <v>FABRICAÇÃO DE ESCORAS DO TIPO PONTALETE, EM MADEIRA, PARA PÉ-DIREITO SIMPLES. AF_09/2020</v>
      </c>
      <c r="D335" s="388"/>
      <c r="E335" s="388"/>
      <c r="F335" s="388"/>
      <c r="G335" s="388"/>
      <c r="H335" s="388"/>
      <c r="I335" s="388"/>
      <c r="J335" s="388"/>
      <c r="K335" s="388"/>
      <c r="L335" s="388"/>
      <c r="M335" s="47" t="str">
        <f>ORÇAMENTO!E49</f>
        <v>M</v>
      </c>
    </row>
    <row r="336" spans="1:13" s="10" customFormat="1" ht="12.75">
      <c r="A336" s="5"/>
      <c r="M336" s="12"/>
    </row>
    <row r="337" spans="1:13" s="10" customFormat="1" ht="12.75">
      <c r="A337" s="5"/>
      <c r="B337" s="87" t="s">
        <v>74</v>
      </c>
      <c r="D337" s="88" t="s">
        <v>50</v>
      </c>
      <c r="E337" s="89">
        <f>(8*3.15)*3</f>
        <v>75.599999999999994</v>
      </c>
      <c r="F337" s="90"/>
      <c r="G337" s="94"/>
      <c r="I337" s="161" t="s">
        <v>552</v>
      </c>
      <c r="J337" s="92"/>
      <c r="K337" s="92"/>
      <c r="L337" s="93" t="s">
        <v>50</v>
      </c>
      <c r="M337" s="13">
        <f>E337</f>
        <v>75.599999999999994</v>
      </c>
    </row>
    <row r="338" spans="1:13" s="10" customFormat="1" ht="12.75">
      <c r="A338" s="5"/>
      <c r="B338" s="10" t="s">
        <v>615</v>
      </c>
      <c r="E338" s="39" t="s">
        <v>221</v>
      </c>
      <c r="M338" s="12"/>
    </row>
    <row r="339" spans="1:13" s="10" customFormat="1">
      <c r="A339" s="5"/>
      <c r="E339" s="39"/>
      <c r="F339" s="6"/>
      <c r="M339" s="12"/>
    </row>
    <row r="340" spans="1:13" s="10" customFormat="1" ht="12.75">
      <c r="A340" s="214"/>
      <c r="B340" s="87" t="s">
        <v>74</v>
      </c>
      <c r="D340" s="88" t="s">
        <v>50</v>
      </c>
      <c r="E340" s="89">
        <f>(20*3.15)*3</f>
        <v>189</v>
      </c>
      <c r="F340" s="215"/>
      <c r="G340" s="94"/>
      <c r="I340" s="161" t="s">
        <v>632</v>
      </c>
      <c r="J340" s="92"/>
      <c r="K340" s="92"/>
      <c r="L340" s="93" t="s">
        <v>50</v>
      </c>
      <c r="M340" s="13">
        <f>E340</f>
        <v>189</v>
      </c>
    </row>
    <row r="341" spans="1:13" s="10" customFormat="1" ht="12.75">
      <c r="A341" s="214"/>
      <c r="B341" s="10" t="s">
        <v>616</v>
      </c>
      <c r="E341" s="39" t="s">
        <v>221</v>
      </c>
      <c r="M341" s="12"/>
    </row>
    <row r="342" spans="1:13" s="10" customFormat="1">
      <c r="A342" s="214"/>
      <c r="E342" s="39"/>
      <c r="F342" s="6"/>
      <c r="M342" s="12"/>
    </row>
    <row r="343" spans="1:13" s="161" customFormat="1" ht="12.75">
      <c r="A343" s="160"/>
      <c r="B343" s="161" t="s">
        <v>10</v>
      </c>
      <c r="L343" s="162" t="s">
        <v>50</v>
      </c>
      <c r="M343" s="46">
        <f>SUM(M337:M340)</f>
        <v>264.60000000000002</v>
      </c>
    </row>
    <row r="344" spans="1:13" s="10" customFormat="1" ht="12.75">
      <c r="A344" s="5"/>
      <c r="B344" s="87"/>
      <c r="D344" s="88"/>
      <c r="E344" s="91"/>
      <c r="F344" s="90"/>
      <c r="G344" s="91"/>
      <c r="H344" s="90"/>
      <c r="I344" s="90"/>
      <c r="J344" s="92"/>
      <c r="K344" s="92"/>
      <c r="L344" s="93"/>
      <c r="M344" s="14"/>
    </row>
    <row r="345" spans="1:13" s="10" customFormat="1" ht="26.25" customHeight="1">
      <c r="A345" s="38" t="str">
        <f>ORÇAMENTO!A50</f>
        <v>4.1.4</v>
      </c>
      <c r="B345" s="86"/>
      <c r="C345" s="388" t="str">
        <f>ORÇAMENTO!D50</f>
        <v>CORTE, DOBRA E MONTAGEM DE AÇO CA-50/60</v>
      </c>
      <c r="D345" s="388"/>
      <c r="E345" s="388"/>
      <c r="F345" s="388"/>
      <c r="G345" s="388"/>
      <c r="H345" s="388"/>
      <c r="I345" s="388"/>
      <c r="J345" s="388"/>
      <c r="K345" s="388"/>
      <c r="L345" s="388"/>
      <c r="M345" s="47" t="str">
        <f>ORÇAMENTO!E50</f>
        <v>KG</v>
      </c>
    </row>
    <row r="346" spans="1:13" s="10" customFormat="1" ht="12.75">
      <c r="A346" s="5"/>
      <c r="M346" s="12"/>
    </row>
    <row r="347" spans="1:13" s="10" customFormat="1" ht="12.75">
      <c r="A347" s="5"/>
      <c r="B347" s="87" t="s">
        <v>74</v>
      </c>
      <c r="D347" s="88" t="s">
        <v>50</v>
      </c>
      <c r="E347" s="89">
        <f>252+71.4</f>
        <v>323.39999999999998</v>
      </c>
      <c r="F347" s="90"/>
      <c r="G347" s="94"/>
      <c r="I347" s="161" t="s">
        <v>552</v>
      </c>
      <c r="J347" s="92"/>
      <c r="K347" s="92"/>
      <c r="L347" s="93" t="s">
        <v>50</v>
      </c>
      <c r="M347" s="13">
        <f>E347</f>
        <v>323.39999999999998</v>
      </c>
    </row>
    <row r="348" spans="1:13" s="10" customFormat="1" ht="12.75">
      <c r="A348" s="5"/>
      <c r="B348" s="10" t="s">
        <v>615</v>
      </c>
      <c r="E348" s="39" t="s">
        <v>70</v>
      </c>
      <c r="M348" s="12"/>
    </row>
    <row r="349" spans="1:13" s="10" customFormat="1">
      <c r="A349" s="5"/>
      <c r="E349" s="39"/>
      <c r="F349" s="6"/>
      <c r="M349" s="12"/>
    </row>
    <row r="350" spans="1:13" s="10" customFormat="1" ht="12.75">
      <c r="A350" s="214"/>
      <c r="B350" s="87" t="s">
        <v>74</v>
      </c>
      <c r="D350" s="88" t="s">
        <v>50</v>
      </c>
      <c r="E350" s="89">
        <f>485+125.1</f>
        <v>610.1</v>
      </c>
      <c r="F350" s="215"/>
      <c r="G350" s="94"/>
      <c r="I350" s="161" t="s">
        <v>632</v>
      </c>
      <c r="J350" s="92"/>
      <c r="K350" s="92"/>
      <c r="L350" s="93" t="s">
        <v>50</v>
      </c>
      <c r="M350" s="13">
        <f>E350</f>
        <v>610.1</v>
      </c>
    </row>
    <row r="351" spans="1:13" s="10" customFormat="1" ht="12.75">
      <c r="A351" s="214"/>
      <c r="B351" s="10" t="s">
        <v>616</v>
      </c>
      <c r="E351" s="39" t="s">
        <v>70</v>
      </c>
      <c r="M351" s="12"/>
    </row>
    <row r="352" spans="1:13" s="10" customFormat="1">
      <c r="A352" s="214"/>
      <c r="E352" s="39"/>
      <c r="F352" s="6"/>
      <c r="M352" s="12"/>
    </row>
    <row r="353" spans="1:13" s="161" customFormat="1" ht="12.75">
      <c r="A353" s="160"/>
      <c r="B353" s="161" t="s">
        <v>10</v>
      </c>
      <c r="L353" s="162" t="s">
        <v>50</v>
      </c>
      <c r="M353" s="46">
        <f>SUM(M347:M350)</f>
        <v>933.5</v>
      </c>
    </row>
    <row r="354" spans="1:13" s="10" customFormat="1" ht="12.75">
      <c r="A354" s="5"/>
      <c r="B354" s="87"/>
      <c r="D354" s="88"/>
      <c r="E354" s="91"/>
      <c r="F354" s="90"/>
      <c r="G354" s="91"/>
      <c r="H354" s="90"/>
      <c r="I354" s="90"/>
      <c r="J354" s="92"/>
      <c r="K354" s="92"/>
      <c r="L354" s="93"/>
      <c r="M354" s="14"/>
    </row>
    <row r="355" spans="1:13" s="10" customFormat="1" ht="12.75">
      <c r="A355" s="53" t="str">
        <f>ORÇAMENTO!A52</f>
        <v>4.2</v>
      </c>
      <c r="B355" s="97"/>
      <c r="C355" s="393" t="str">
        <f>ORÇAMENTO!C52</f>
        <v>VIGAS</v>
      </c>
      <c r="D355" s="393"/>
      <c r="E355" s="393"/>
      <c r="F355" s="393"/>
      <c r="G355" s="393"/>
      <c r="H355" s="393"/>
      <c r="I355" s="393"/>
      <c r="J355" s="393"/>
      <c r="K355" s="393"/>
      <c r="L355" s="393"/>
      <c r="M355" s="394"/>
    </row>
    <row r="356" spans="1:13" s="10" customFormat="1" ht="12.75">
      <c r="A356" s="5"/>
      <c r="B356" s="87"/>
      <c r="D356" s="88"/>
      <c r="E356" s="91"/>
      <c r="F356" s="90"/>
      <c r="G356" s="91"/>
      <c r="H356" s="90"/>
      <c r="I356" s="90"/>
      <c r="J356" s="92"/>
      <c r="K356" s="92"/>
      <c r="L356" s="93"/>
      <c r="M356" s="14"/>
    </row>
    <row r="357" spans="1:13" s="10" customFormat="1" ht="26.25" customHeight="1">
      <c r="A357" s="38" t="str">
        <f>ORÇAMENTO!A53</f>
        <v>4.2.1</v>
      </c>
      <c r="B357" s="86"/>
      <c r="C357" s="388" t="str">
        <f>ORÇAMENTO!D53</f>
        <v>CONCRETAGEM DE VIGAS E LAJES, FCK=25 MPA, PARA LAJES PREMOLDADAS COM USO DE BOMBA - LANÇAMENTO, ADENSAMENTO E ACABAMENTO. AF_02/2022_PS</v>
      </c>
      <c r="D357" s="388"/>
      <c r="E357" s="388"/>
      <c r="F357" s="388"/>
      <c r="G357" s="388"/>
      <c r="H357" s="388"/>
      <c r="I357" s="388"/>
      <c r="J357" s="388"/>
      <c r="K357" s="388"/>
      <c r="L357" s="388"/>
      <c r="M357" s="47" t="str">
        <f>ORÇAMENTO!E53</f>
        <v>M3</v>
      </c>
    </row>
    <row r="358" spans="1:13" s="10" customFormat="1" ht="12.75">
      <c r="A358" s="5"/>
      <c r="M358" s="12"/>
    </row>
    <row r="359" spans="1:13" s="10" customFormat="1" ht="12.75">
      <c r="A359" s="5"/>
      <c r="B359" s="87" t="s">
        <v>192</v>
      </c>
      <c r="D359" s="88" t="s">
        <v>50</v>
      </c>
      <c r="E359" s="89">
        <v>2.09</v>
      </c>
      <c r="F359" s="90"/>
      <c r="G359" s="94"/>
      <c r="I359" s="161" t="s">
        <v>554</v>
      </c>
      <c r="J359" s="92"/>
      <c r="K359" s="92"/>
      <c r="L359" s="93" t="s">
        <v>50</v>
      </c>
      <c r="M359" s="13">
        <f>E359</f>
        <v>2.09</v>
      </c>
    </row>
    <row r="360" spans="1:13" s="10" customFormat="1" ht="12.75">
      <c r="A360" s="5"/>
      <c r="B360" s="10" t="s">
        <v>615</v>
      </c>
      <c r="E360" s="39" t="s">
        <v>53</v>
      </c>
      <c r="M360" s="12"/>
    </row>
    <row r="361" spans="1:13" s="10" customFormat="1">
      <c r="A361" s="5"/>
      <c r="E361" s="39"/>
      <c r="F361" s="6"/>
      <c r="M361" s="12"/>
    </row>
    <row r="362" spans="1:13" s="10" customFormat="1" ht="12.75">
      <c r="A362" s="5"/>
      <c r="B362" s="87" t="s">
        <v>553</v>
      </c>
      <c r="D362" s="88" t="s">
        <v>50</v>
      </c>
      <c r="E362" s="89">
        <v>4.41</v>
      </c>
      <c r="F362" s="90"/>
      <c r="G362" s="94"/>
      <c r="I362" s="161" t="s">
        <v>555</v>
      </c>
      <c r="J362" s="92"/>
      <c r="K362" s="92"/>
      <c r="L362" s="93" t="s">
        <v>50</v>
      </c>
      <c r="M362" s="13">
        <f>E362</f>
        <v>4.41</v>
      </c>
    </row>
    <row r="363" spans="1:13" s="10" customFormat="1" ht="12.75">
      <c r="A363" s="5"/>
      <c r="B363" s="10" t="s">
        <v>615</v>
      </c>
      <c r="E363" s="39" t="s">
        <v>53</v>
      </c>
      <c r="M363" s="12"/>
    </row>
    <row r="364" spans="1:13" s="10" customFormat="1">
      <c r="A364" s="5"/>
      <c r="E364" s="39"/>
      <c r="F364" s="6"/>
      <c r="M364" s="12"/>
    </row>
    <row r="365" spans="1:13" s="10" customFormat="1" ht="12.75">
      <c r="A365" s="214"/>
      <c r="B365" s="87" t="s">
        <v>192</v>
      </c>
      <c r="D365" s="88" t="s">
        <v>50</v>
      </c>
      <c r="E365" s="89">
        <v>4.37</v>
      </c>
      <c r="F365" s="215"/>
      <c r="G365" s="94"/>
      <c r="I365" s="161" t="s">
        <v>633</v>
      </c>
      <c r="J365" s="92"/>
      <c r="K365" s="92"/>
      <c r="L365" s="93" t="s">
        <v>50</v>
      </c>
      <c r="M365" s="13">
        <f>E365</f>
        <v>4.37</v>
      </c>
    </row>
    <row r="366" spans="1:13" s="10" customFormat="1" ht="12.75">
      <c r="A366" s="214"/>
      <c r="B366" s="10" t="s">
        <v>616</v>
      </c>
      <c r="E366" s="39" t="s">
        <v>53</v>
      </c>
      <c r="M366" s="12"/>
    </row>
    <row r="367" spans="1:13" s="10" customFormat="1">
      <c r="A367" s="214"/>
      <c r="E367" s="39"/>
      <c r="F367" s="6"/>
      <c r="M367" s="12"/>
    </row>
    <row r="368" spans="1:13" s="10" customFormat="1" ht="12.75">
      <c r="A368" s="214"/>
      <c r="B368" s="87" t="s">
        <v>553</v>
      </c>
      <c r="D368" s="88" t="s">
        <v>50</v>
      </c>
      <c r="E368" s="89">
        <v>1.92</v>
      </c>
      <c r="F368" s="215"/>
      <c r="G368" s="94"/>
      <c r="I368" s="161" t="s">
        <v>634</v>
      </c>
      <c r="J368" s="92"/>
      <c r="K368" s="92"/>
      <c r="L368" s="93" t="s">
        <v>50</v>
      </c>
      <c r="M368" s="13">
        <f>E368</f>
        <v>1.92</v>
      </c>
    </row>
    <row r="369" spans="1:13" s="10" customFormat="1" ht="12.75">
      <c r="A369" s="214"/>
      <c r="B369" s="10" t="s">
        <v>616</v>
      </c>
      <c r="E369" s="39" t="s">
        <v>53</v>
      </c>
      <c r="M369" s="12"/>
    </row>
    <row r="370" spans="1:13" s="10" customFormat="1">
      <c r="A370" s="214"/>
      <c r="E370" s="39"/>
      <c r="F370" s="6"/>
      <c r="M370" s="12"/>
    </row>
    <row r="371" spans="1:13" s="161" customFormat="1" ht="12.75">
      <c r="A371" s="160"/>
      <c r="B371" s="161" t="s">
        <v>10</v>
      </c>
      <c r="L371" s="162" t="s">
        <v>50</v>
      </c>
      <c r="M371" s="46">
        <f>SUM(M359:M368)</f>
        <v>12.790000000000001</v>
      </c>
    </row>
    <row r="372" spans="1:13" s="10" customFormat="1" ht="12.75">
      <c r="A372" s="5"/>
      <c r="B372" s="87"/>
      <c r="D372" s="88"/>
      <c r="E372" s="91"/>
      <c r="F372" s="90"/>
      <c r="G372" s="91"/>
      <c r="H372" s="90"/>
      <c r="I372" s="90"/>
      <c r="J372" s="92"/>
      <c r="K372" s="92"/>
      <c r="L372" s="93"/>
      <c r="M372" s="14"/>
    </row>
    <row r="373" spans="1:13" s="10" customFormat="1" ht="26.25" customHeight="1">
      <c r="A373" s="38" t="str">
        <f>ORÇAMENTO!A54</f>
        <v>4.2.2</v>
      </c>
      <c r="B373" s="86"/>
      <c r="C373" s="388" t="str">
        <f>ORÇAMENTO!D54</f>
        <v>MONTAGEM E DESMONTAGEM DE FÔRMA DE VIGA, ESCORAMENTO METÁLICO, PÉ-DIREITO SIMPLES, EM CHAPA DE MADEIRA PLASTIFICADA, 12 UTILIZAÇÕES. AF_09/2020</v>
      </c>
      <c r="D373" s="388"/>
      <c r="E373" s="388"/>
      <c r="F373" s="388"/>
      <c r="G373" s="388"/>
      <c r="H373" s="388"/>
      <c r="I373" s="388"/>
      <c r="J373" s="388"/>
      <c r="K373" s="388"/>
      <c r="L373" s="388"/>
      <c r="M373" s="47" t="str">
        <f>ORÇAMENTO!E54</f>
        <v>M2</v>
      </c>
    </row>
    <row r="374" spans="1:13" s="10" customFormat="1" ht="12.75">
      <c r="A374" s="5"/>
      <c r="M374" s="12"/>
    </row>
    <row r="375" spans="1:13" s="10" customFormat="1" ht="12.75">
      <c r="A375" s="5"/>
      <c r="B375" s="87" t="s">
        <v>166</v>
      </c>
      <c r="D375" s="88" t="s">
        <v>50</v>
      </c>
      <c r="E375" s="89">
        <v>30.54</v>
      </c>
      <c r="F375" s="90"/>
      <c r="G375" s="94"/>
      <c r="I375" s="161" t="s">
        <v>554</v>
      </c>
      <c r="J375" s="92"/>
      <c r="K375" s="92"/>
      <c r="L375" s="93" t="s">
        <v>50</v>
      </c>
      <c r="M375" s="13">
        <f>E375</f>
        <v>30.54</v>
      </c>
    </row>
    <row r="376" spans="1:13" s="10" customFormat="1" ht="12.75">
      <c r="A376" s="5"/>
      <c r="B376" s="10" t="s">
        <v>615</v>
      </c>
      <c r="E376" s="39" t="s">
        <v>51</v>
      </c>
      <c r="M376" s="12"/>
    </row>
    <row r="377" spans="1:13" s="10" customFormat="1">
      <c r="A377" s="5"/>
      <c r="E377" s="39"/>
      <c r="F377" s="6"/>
      <c r="M377" s="12"/>
    </row>
    <row r="378" spans="1:13" s="10" customFormat="1" ht="12.75">
      <c r="A378" s="5"/>
      <c r="B378" s="87" t="s">
        <v>553</v>
      </c>
      <c r="D378" s="88" t="s">
        <v>50</v>
      </c>
      <c r="E378" s="89">
        <v>55.9</v>
      </c>
      <c r="F378" s="90"/>
      <c r="G378" s="94"/>
      <c r="I378" s="161" t="s">
        <v>555</v>
      </c>
      <c r="J378" s="92"/>
      <c r="K378" s="92"/>
      <c r="L378" s="93" t="s">
        <v>50</v>
      </c>
      <c r="M378" s="13">
        <f>E378</f>
        <v>55.9</v>
      </c>
    </row>
    <row r="379" spans="1:13" s="10" customFormat="1" ht="12.75">
      <c r="A379" s="5"/>
      <c r="B379" s="10" t="s">
        <v>615</v>
      </c>
      <c r="E379" s="39" t="s">
        <v>51</v>
      </c>
      <c r="M379" s="12"/>
    </row>
    <row r="380" spans="1:13" s="10" customFormat="1">
      <c r="A380" s="5"/>
      <c r="E380" s="39"/>
      <c r="F380" s="6"/>
      <c r="M380" s="12"/>
    </row>
    <row r="381" spans="1:13" s="10" customFormat="1" ht="12.75">
      <c r="A381" s="214"/>
      <c r="B381" s="87" t="s">
        <v>166</v>
      </c>
      <c r="D381" s="88" t="s">
        <v>50</v>
      </c>
      <c r="E381" s="89">
        <v>72.31</v>
      </c>
      <c r="F381" s="215"/>
      <c r="G381" s="94"/>
      <c r="I381" s="161" t="s">
        <v>633</v>
      </c>
      <c r="J381" s="92"/>
      <c r="K381" s="92"/>
      <c r="L381" s="93" t="s">
        <v>50</v>
      </c>
      <c r="M381" s="13">
        <f>E381</f>
        <v>72.31</v>
      </c>
    </row>
    <row r="382" spans="1:13" s="10" customFormat="1" ht="12.75">
      <c r="A382" s="214"/>
      <c r="B382" s="10" t="s">
        <v>616</v>
      </c>
      <c r="E382" s="39" t="s">
        <v>51</v>
      </c>
      <c r="M382" s="12"/>
    </row>
    <row r="383" spans="1:13" s="10" customFormat="1">
      <c r="A383" s="214"/>
      <c r="E383" s="39"/>
      <c r="F383" s="6"/>
      <c r="M383" s="12"/>
    </row>
    <row r="384" spans="1:13" s="10" customFormat="1" ht="12.75">
      <c r="A384" s="214"/>
      <c r="B384" s="87" t="s">
        <v>553</v>
      </c>
      <c r="D384" s="88" t="s">
        <v>50</v>
      </c>
      <c r="E384" s="89">
        <v>31.32</v>
      </c>
      <c r="F384" s="215"/>
      <c r="G384" s="94"/>
      <c r="I384" s="161" t="s">
        <v>634</v>
      </c>
      <c r="J384" s="92"/>
      <c r="K384" s="92"/>
      <c r="L384" s="93" t="s">
        <v>50</v>
      </c>
      <c r="M384" s="13">
        <f>E384</f>
        <v>31.32</v>
      </c>
    </row>
    <row r="385" spans="1:13" s="10" customFormat="1" ht="12.75">
      <c r="A385" s="214"/>
      <c r="B385" s="10" t="s">
        <v>616</v>
      </c>
      <c r="E385" s="39" t="s">
        <v>51</v>
      </c>
      <c r="M385" s="12"/>
    </row>
    <row r="386" spans="1:13" s="10" customFormat="1">
      <c r="A386" s="214"/>
      <c r="E386" s="39"/>
      <c r="F386" s="6"/>
      <c r="M386" s="12"/>
    </row>
    <row r="387" spans="1:13" s="161" customFormat="1" ht="12.75">
      <c r="A387" s="160"/>
      <c r="B387" s="161" t="s">
        <v>10</v>
      </c>
      <c r="L387" s="162" t="s">
        <v>50</v>
      </c>
      <c r="M387" s="46">
        <f>SUM(M375:M384)</f>
        <v>190.07</v>
      </c>
    </row>
    <row r="388" spans="1:13" s="10" customFormat="1" ht="13.5" customHeight="1">
      <c r="A388" s="5"/>
      <c r="B388" s="87"/>
      <c r="D388" s="88"/>
      <c r="E388" s="91"/>
      <c r="F388" s="90"/>
      <c r="G388" s="91"/>
      <c r="H388" s="90"/>
      <c r="I388" s="90"/>
      <c r="J388" s="92"/>
      <c r="K388" s="92"/>
      <c r="L388" s="93"/>
      <c r="M388" s="14"/>
    </row>
    <row r="389" spans="1:13" s="10" customFormat="1" ht="26.25" customHeight="1">
      <c r="A389" s="38" t="str">
        <f>ORÇAMENTO!A55</f>
        <v>4.2.3</v>
      </c>
      <c r="B389" s="86"/>
      <c r="C389" s="388" t="str">
        <f>ORÇAMENTO!D55</f>
        <v>CORTE, DOBRA E MONTAGEM DE AÇO CA-50/60</v>
      </c>
      <c r="D389" s="388"/>
      <c r="E389" s="388"/>
      <c r="F389" s="388"/>
      <c r="G389" s="388"/>
      <c r="H389" s="388"/>
      <c r="I389" s="388"/>
      <c r="J389" s="388"/>
      <c r="K389" s="388"/>
      <c r="L389" s="388"/>
      <c r="M389" s="47" t="str">
        <f>ORÇAMENTO!E55</f>
        <v>KG</v>
      </c>
    </row>
    <row r="390" spans="1:13" s="10" customFormat="1" ht="12.75">
      <c r="A390" s="5"/>
      <c r="M390" s="12"/>
    </row>
    <row r="391" spans="1:13" s="10" customFormat="1" ht="12.75">
      <c r="A391" s="5"/>
      <c r="B391" s="87" t="s">
        <v>192</v>
      </c>
      <c r="D391" s="88" t="s">
        <v>50</v>
      </c>
      <c r="E391" s="89">
        <f>151.8+33.6</f>
        <v>185.4</v>
      </c>
      <c r="F391" s="90"/>
      <c r="G391" s="94"/>
      <c r="I391" s="161" t="s">
        <v>554</v>
      </c>
      <c r="J391" s="92"/>
      <c r="K391" s="92"/>
      <c r="L391" s="93" t="s">
        <v>50</v>
      </c>
      <c r="M391" s="13">
        <f>E391</f>
        <v>185.4</v>
      </c>
    </row>
    <row r="392" spans="1:13" s="10" customFormat="1" ht="12.75">
      <c r="A392" s="5"/>
      <c r="B392" s="10" t="s">
        <v>615</v>
      </c>
      <c r="E392" s="39" t="s">
        <v>70</v>
      </c>
      <c r="M392" s="12"/>
    </row>
    <row r="393" spans="1:13" s="10" customFormat="1">
      <c r="A393" s="5"/>
      <c r="E393" s="39"/>
      <c r="F393" s="6"/>
      <c r="M393" s="12"/>
    </row>
    <row r="394" spans="1:13" s="10" customFormat="1" ht="12.75">
      <c r="A394" s="5"/>
      <c r="B394" s="87" t="s">
        <v>553</v>
      </c>
      <c r="D394" s="88" t="s">
        <v>50</v>
      </c>
      <c r="E394" s="89">
        <f>216.6+89</f>
        <v>305.60000000000002</v>
      </c>
      <c r="F394" s="90"/>
      <c r="G394" s="94"/>
      <c r="I394" s="161" t="s">
        <v>555</v>
      </c>
      <c r="J394" s="92"/>
      <c r="K394" s="92"/>
      <c r="L394" s="93" t="s">
        <v>50</v>
      </c>
      <c r="M394" s="13">
        <f>E394</f>
        <v>305.60000000000002</v>
      </c>
    </row>
    <row r="395" spans="1:13" s="10" customFormat="1" ht="12.75">
      <c r="A395" s="5"/>
      <c r="B395" s="10" t="s">
        <v>615</v>
      </c>
      <c r="E395" s="39" t="s">
        <v>70</v>
      </c>
      <c r="M395" s="12"/>
    </row>
    <row r="396" spans="1:13" s="10" customFormat="1">
      <c r="A396" s="5"/>
      <c r="E396" s="39"/>
      <c r="F396" s="6"/>
      <c r="M396" s="12"/>
    </row>
    <row r="397" spans="1:13" s="10" customFormat="1" ht="12.75">
      <c r="A397" s="214"/>
      <c r="B397" s="87" t="s">
        <v>192</v>
      </c>
      <c r="D397" s="88" t="s">
        <v>50</v>
      </c>
      <c r="E397" s="89">
        <f>291.5+78.5</f>
        <v>370</v>
      </c>
      <c r="F397" s="215"/>
      <c r="G397" s="94"/>
      <c r="I397" s="161" t="s">
        <v>633</v>
      </c>
      <c r="J397" s="92"/>
      <c r="K397" s="92"/>
      <c r="L397" s="93" t="s">
        <v>50</v>
      </c>
      <c r="M397" s="13">
        <f>E397</f>
        <v>370</v>
      </c>
    </row>
    <row r="398" spans="1:13" s="10" customFormat="1" ht="12.75">
      <c r="A398" s="214"/>
      <c r="B398" s="10" t="s">
        <v>616</v>
      </c>
      <c r="E398" s="39" t="s">
        <v>70</v>
      </c>
      <c r="M398" s="12"/>
    </row>
    <row r="399" spans="1:13" s="10" customFormat="1">
      <c r="A399" s="214"/>
      <c r="E399" s="39"/>
      <c r="F399" s="6"/>
      <c r="M399" s="12"/>
    </row>
    <row r="400" spans="1:13" s="10" customFormat="1" ht="12.75">
      <c r="A400" s="214"/>
      <c r="B400" s="87" t="s">
        <v>553</v>
      </c>
      <c r="D400" s="88" t="s">
        <v>50</v>
      </c>
      <c r="E400" s="89">
        <f>97.3+34.1</f>
        <v>131.4</v>
      </c>
      <c r="F400" s="215"/>
      <c r="G400" s="94"/>
      <c r="I400" s="161" t="s">
        <v>634</v>
      </c>
      <c r="J400" s="92"/>
      <c r="K400" s="92"/>
      <c r="L400" s="93" t="s">
        <v>50</v>
      </c>
      <c r="M400" s="13">
        <f>E400</f>
        <v>131.4</v>
      </c>
    </row>
    <row r="401" spans="1:13" s="10" customFormat="1" ht="12.75">
      <c r="A401" s="214"/>
      <c r="B401" s="10" t="s">
        <v>616</v>
      </c>
      <c r="E401" s="39" t="s">
        <v>70</v>
      </c>
      <c r="M401" s="12"/>
    </row>
    <row r="402" spans="1:13" s="10" customFormat="1">
      <c r="A402" s="214"/>
      <c r="E402" s="39"/>
      <c r="F402" s="6"/>
      <c r="M402" s="12"/>
    </row>
    <row r="403" spans="1:13" s="161" customFormat="1" ht="14.25" customHeight="1">
      <c r="A403" s="160"/>
      <c r="B403" s="161" t="s">
        <v>10</v>
      </c>
      <c r="L403" s="162" t="s">
        <v>50</v>
      </c>
      <c r="M403" s="46">
        <f>SUM(M391:M400)</f>
        <v>992.4</v>
      </c>
    </row>
    <row r="404" spans="1:13" s="10" customFormat="1" ht="12.75">
      <c r="A404" s="5"/>
      <c r="B404" s="87"/>
      <c r="D404" s="88"/>
      <c r="E404" s="91"/>
      <c r="F404" s="90"/>
      <c r="G404" s="91"/>
      <c r="H404" s="90"/>
      <c r="I404" s="90"/>
      <c r="J404" s="92"/>
      <c r="K404" s="92"/>
      <c r="L404" s="93"/>
      <c r="M404" s="14"/>
    </row>
    <row r="405" spans="1:13" s="10" customFormat="1" ht="12.75">
      <c r="A405" s="53" t="str">
        <f>ORÇAMENTO!A57</f>
        <v>4.3</v>
      </c>
      <c r="B405" s="97"/>
      <c r="C405" s="393" t="str">
        <f>ORÇAMENTO!C57</f>
        <v>LAJE</v>
      </c>
      <c r="D405" s="393"/>
      <c r="E405" s="393"/>
      <c r="F405" s="393"/>
      <c r="G405" s="393"/>
      <c r="H405" s="393"/>
      <c r="I405" s="393"/>
      <c r="J405" s="393"/>
      <c r="K405" s="393"/>
      <c r="L405" s="393"/>
      <c r="M405" s="394"/>
    </row>
    <row r="406" spans="1:13" s="10" customFormat="1" ht="12.75">
      <c r="A406" s="11"/>
      <c r="L406" s="93"/>
      <c r="M406" s="14"/>
    </row>
    <row r="407" spans="1:13" s="10" customFormat="1" ht="12.75">
      <c r="A407" s="11"/>
      <c r="L407" s="93"/>
      <c r="M407" s="14"/>
    </row>
    <row r="408" spans="1:13" s="10" customFormat="1" ht="42.75" customHeight="1">
      <c r="A408" s="38" t="str">
        <f>ORÇAMENTO!A58</f>
        <v>4.3.1</v>
      </c>
      <c r="B408" s="86"/>
      <c r="C408" s="388" t="str">
        <f>ORÇAMENTO!D58</f>
        <v>LAJE PRÉ-MOLDADA UNIDIRECIONAL COM ENCHIMENTO EM POLIESTIRENO EXPANDIDO (EPS), CAPEAMENTO DE 4CM, SOBRECARGA DE 300KG/M2, ALTURA TOTAL DE 11CM E VÃO LIVRE MÁXIMO DE 4M, INCLUSIVE CONCRETO ESTRUTURAL, USINADO BOMBEADO COM FCK DE 20MPA, EXCLUSIVE TELA ARMADA E CIMBRAMENTO</v>
      </c>
      <c r="D408" s="388"/>
      <c r="E408" s="388"/>
      <c r="F408" s="388"/>
      <c r="G408" s="388"/>
      <c r="H408" s="388"/>
      <c r="I408" s="388"/>
      <c r="J408" s="388"/>
      <c r="K408" s="388"/>
      <c r="L408" s="388"/>
      <c r="M408" s="47" t="str">
        <f>ORÇAMENTO!E58</f>
        <v>M2</v>
      </c>
    </row>
    <row r="409" spans="1:13" s="10" customFormat="1" ht="12.75">
      <c r="A409" s="5"/>
      <c r="M409" s="12"/>
    </row>
    <row r="410" spans="1:13" s="10" customFormat="1" ht="12.75">
      <c r="A410" s="5"/>
      <c r="B410" s="87" t="s">
        <v>626</v>
      </c>
      <c r="D410" s="88" t="s">
        <v>50</v>
      </c>
      <c r="E410" s="89">
        <v>35.909999999999997</v>
      </c>
      <c r="F410" s="90"/>
      <c r="G410" s="91"/>
      <c r="I410" s="161" t="s">
        <v>554</v>
      </c>
      <c r="J410" s="92"/>
      <c r="K410" s="92"/>
      <c r="L410" s="93" t="s">
        <v>50</v>
      </c>
      <c r="M410" s="13">
        <f>E410</f>
        <v>35.909999999999997</v>
      </c>
    </row>
    <row r="411" spans="1:13" s="10" customFormat="1" ht="12.75">
      <c r="A411" s="5"/>
      <c r="B411" s="10" t="s">
        <v>615</v>
      </c>
      <c r="E411" s="39" t="s">
        <v>382</v>
      </c>
      <c r="G411" s="39"/>
      <c r="M411" s="12"/>
    </row>
    <row r="412" spans="1:13" s="10" customFormat="1">
      <c r="A412" s="5"/>
      <c r="E412" s="39"/>
      <c r="F412" s="6"/>
      <c r="M412" s="12"/>
    </row>
    <row r="413" spans="1:13" s="10" customFormat="1" ht="12.75">
      <c r="A413" s="5"/>
      <c r="B413" s="87" t="s">
        <v>625</v>
      </c>
      <c r="D413" s="88" t="s">
        <v>50</v>
      </c>
      <c r="E413" s="89">
        <f>57.69</f>
        <v>57.69</v>
      </c>
      <c r="F413" s="90"/>
      <c r="G413" s="91"/>
      <c r="I413" s="161" t="s">
        <v>555</v>
      </c>
      <c r="J413" s="92"/>
      <c r="K413" s="92"/>
      <c r="L413" s="93" t="s">
        <v>50</v>
      </c>
      <c r="M413" s="13">
        <f>E413</f>
        <v>57.69</v>
      </c>
    </row>
    <row r="414" spans="1:13" s="10" customFormat="1" ht="12.75">
      <c r="A414" s="5"/>
      <c r="B414" s="10" t="s">
        <v>615</v>
      </c>
      <c r="E414" s="39" t="s">
        <v>382</v>
      </c>
      <c r="G414" s="39"/>
      <c r="M414" s="12"/>
    </row>
    <row r="415" spans="1:13" s="10" customFormat="1">
      <c r="A415" s="5"/>
      <c r="E415" s="39"/>
      <c r="F415" s="6"/>
      <c r="M415" s="12"/>
    </row>
    <row r="416" spans="1:13" s="10" customFormat="1" ht="12.75">
      <c r="A416" s="214"/>
      <c r="B416" s="87" t="s">
        <v>626</v>
      </c>
      <c r="D416" s="88" t="s">
        <v>50</v>
      </c>
      <c r="E416" s="89">
        <v>45.15</v>
      </c>
      <c r="F416" s="215"/>
      <c r="G416" s="91"/>
      <c r="I416" s="161" t="s">
        <v>633</v>
      </c>
      <c r="J416" s="92"/>
      <c r="K416" s="92"/>
      <c r="L416" s="93" t="s">
        <v>50</v>
      </c>
      <c r="M416" s="13">
        <f>E416</f>
        <v>45.15</v>
      </c>
    </row>
    <row r="417" spans="1:22" s="10" customFormat="1" ht="12.75">
      <c r="A417" s="214"/>
      <c r="B417" s="10" t="s">
        <v>616</v>
      </c>
      <c r="E417" s="39" t="s">
        <v>382</v>
      </c>
      <c r="G417" s="39"/>
      <c r="M417" s="12"/>
    </row>
    <row r="418" spans="1:22" s="10" customFormat="1">
      <c r="A418" s="214"/>
      <c r="E418" s="39"/>
      <c r="F418" s="6"/>
      <c r="M418" s="12"/>
    </row>
    <row r="419" spans="1:22" s="10" customFormat="1" ht="12.75">
      <c r="A419" s="214"/>
      <c r="B419" s="87" t="s">
        <v>625</v>
      </c>
      <c r="D419" s="88" t="s">
        <v>50</v>
      </c>
      <c r="E419" s="89">
        <v>31.55</v>
      </c>
      <c r="F419" s="215"/>
      <c r="G419" s="91"/>
      <c r="I419" s="161" t="s">
        <v>634</v>
      </c>
      <c r="J419" s="92"/>
      <c r="K419" s="92"/>
      <c r="L419" s="93" t="s">
        <v>50</v>
      </c>
      <c r="M419" s="13">
        <f>E419</f>
        <v>31.55</v>
      </c>
    </row>
    <row r="420" spans="1:22" s="10" customFormat="1" ht="12.75">
      <c r="A420" s="214"/>
      <c r="B420" s="10" t="s">
        <v>616</v>
      </c>
      <c r="E420" s="39" t="s">
        <v>382</v>
      </c>
      <c r="G420" s="39"/>
      <c r="M420" s="12"/>
    </row>
    <row r="421" spans="1:22" s="10" customFormat="1">
      <c r="A421" s="214"/>
      <c r="E421" s="39"/>
      <c r="F421" s="6"/>
      <c r="M421" s="12"/>
    </row>
    <row r="422" spans="1:22" s="161" customFormat="1" ht="12.75">
      <c r="A422" s="163"/>
      <c r="B422" s="161" t="s">
        <v>96</v>
      </c>
      <c r="L422" s="162" t="s">
        <v>50</v>
      </c>
      <c r="M422" s="46">
        <f>SUM(M410:M419)</f>
        <v>170.3</v>
      </c>
      <c r="T422" s="174"/>
      <c r="V422" s="174"/>
    </row>
    <row r="423" spans="1:22" s="10" customFormat="1" ht="12.75">
      <c r="A423" s="11"/>
      <c r="L423" s="93"/>
      <c r="M423" s="14"/>
      <c r="T423" s="39"/>
      <c r="V423" s="39"/>
    </row>
    <row r="424" spans="1:22" s="10" customFormat="1" ht="42.75" customHeight="1">
      <c r="A424" s="38" t="str">
        <f>ORÇAMENTO!A59</f>
        <v>4.3.2</v>
      </c>
      <c r="B424" s="86"/>
      <c r="C424" s="388" t="str">
        <f>ORÇAMENTO!D59</f>
        <v>LAJE MACIÇA 15 CM DE CONCRETO 13,5 MPa COM ADITIVO IMPERMEABILIZANTE, ARMAÇÃO, FÔRMA , DESFORMA ( FUNDO CAIXA DÁGUA E COBERTURA)</v>
      </c>
      <c r="D424" s="388"/>
      <c r="E424" s="388"/>
      <c r="F424" s="388"/>
      <c r="G424" s="388"/>
      <c r="H424" s="388"/>
      <c r="I424" s="388"/>
      <c r="J424" s="388"/>
      <c r="K424" s="388"/>
      <c r="L424" s="388"/>
      <c r="M424" s="47" t="str">
        <f>ORÇAMENTO!E59</f>
        <v>M2</v>
      </c>
    </row>
    <row r="425" spans="1:22" s="10" customFormat="1" ht="12.75">
      <c r="A425" s="206"/>
      <c r="M425" s="12"/>
    </row>
    <row r="426" spans="1:22" s="10" customFormat="1" ht="12.75">
      <c r="A426" s="206"/>
      <c r="B426" s="87" t="s">
        <v>562</v>
      </c>
      <c r="D426" s="88" t="s">
        <v>50</v>
      </c>
      <c r="E426" s="89">
        <v>12.85</v>
      </c>
      <c r="F426" s="208"/>
      <c r="G426" s="91"/>
      <c r="I426" s="161" t="s">
        <v>555</v>
      </c>
      <c r="J426" s="92"/>
      <c r="K426" s="92"/>
      <c r="L426" s="93" t="s">
        <v>50</v>
      </c>
      <c r="M426" s="13">
        <f>E426</f>
        <v>12.85</v>
      </c>
    </row>
    <row r="427" spans="1:22" s="10" customFormat="1" ht="12.75">
      <c r="A427" s="206"/>
      <c r="B427" s="10" t="s">
        <v>615</v>
      </c>
      <c r="E427" s="39" t="s">
        <v>382</v>
      </c>
      <c r="G427" s="39"/>
      <c r="M427" s="12"/>
    </row>
    <row r="428" spans="1:22" s="10" customFormat="1">
      <c r="A428" s="206"/>
      <c r="E428" s="39"/>
      <c r="F428" s="6"/>
      <c r="M428" s="12"/>
    </row>
    <row r="429" spans="1:22" s="10" customFormat="1" ht="12.75">
      <c r="A429" s="214"/>
      <c r="B429" s="87" t="s">
        <v>623</v>
      </c>
      <c r="D429" s="88" t="s">
        <v>50</v>
      </c>
      <c r="E429" s="89">
        <v>22.05</v>
      </c>
      <c r="F429" s="215"/>
      <c r="G429" s="91"/>
      <c r="I429" s="161" t="s">
        <v>633</v>
      </c>
      <c r="J429" s="92"/>
      <c r="K429" s="92"/>
      <c r="L429" s="93" t="s">
        <v>50</v>
      </c>
      <c r="M429" s="13">
        <f>E429</f>
        <v>22.05</v>
      </c>
    </row>
    <row r="430" spans="1:22" s="10" customFormat="1" ht="12.75">
      <c r="A430" s="214"/>
      <c r="B430" s="10" t="s">
        <v>616</v>
      </c>
      <c r="E430" s="39" t="s">
        <v>382</v>
      </c>
      <c r="G430" s="39"/>
      <c r="M430" s="12"/>
    </row>
    <row r="431" spans="1:22" s="10" customFormat="1">
      <c r="A431" s="214"/>
      <c r="E431" s="39"/>
      <c r="F431" s="6"/>
      <c r="M431" s="12"/>
    </row>
    <row r="432" spans="1:22" s="161" customFormat="1" ht="12.75">
      <c r="A432" s="163"/>
      <c r="B432" s="161" t="s">
        <v>96</v>
      </c>
      <c r="L432" s="162" t="s">
        <v>50</v>
      </c>
      <c r="M432" s="46">
        <f>SUM(M426:M429)</f>
        <v>34.9</v>
      </c>
      <c r="T432" s="174"/>
      <c r="V432" s="174"/>
    </row>
    <row r="433" spans="1:22" s="10" customFormat="1" ht="12.75">
      <c r="A433" s="11"/>
      <c r="L433" s="93"/>
      <c r="M433" s="14"/>
      <c r="T433" s="39"/>
      <c r="V433" s="39"/>
    </row>
    <row r="434" spans="1:22" s="10" customFormat="1" ht="26.25" customHeight="1">
      <c r="A434" s="38" t="str">
        <f>ORÇAMENTO!A60</f>
        <v>4.3.3</v>
      </c>
      <c r="B434" s="86"/>
      <c r="C434" s="388" t="str">
        <f>ORÇAMENTO!D60</f>
        <v>CORTE, DOBRA E MONTAGEM DE AÇO CA-50/60, INCLUSIVE ESPAÇADOR</v>
      </c>
      <c r="D434" s="388"/>
      <c r="E434" s="388"/>
      <c r="F434" s="388"/>
      <c r="G434" s="388"/>
      <c r="H434" s="388"/>
      <c r="I434" s="388"/>
      <c r="J434" s="388"/>
      <c r="K434" s="388"/>
      <c r="L434" s="388"/>
      <c r="M434" s="47" t="str">
        <f>ORÇAMENTO!E60</f>
        <v>KG</v>
      </c>
    </row>
    <row r="435" spans="1:22" s="10" customFormat="1" ht="12.75">
      <c r="A435" s="5"/>
      <c r="M435" s="12"/>
    </row>
    <row r="436" spans="1:22" s="10" customFormat="1" ht="12.75">
      <c r="A436" s="5"/>
      <c r="B436" s="87" t="s">
        <v>193</v>
      </c>
      <c r="D436" s="88" t="s">
        <v>50</v>
      </c>
      <c r="E436" s="89">
        <v>4.3</v>
      </c>
      <c r="F436" s="90"/>
      <c r="G436" s="94"/>
      <c r="I436" s="161" t="s">
        <v>554</v>
      </c>
      <c r="J436" s="92"/>
      <c r="K436" s="92"/>
      <c r="L436" s="93" t="s">
        <v>50</v>
      </c>
      <c r="M436" s="13">
        <f>E436</f>
        <v>4.3</v>
      </c>
    </row>
    <row r="437" spans="1:22" s="10" customFormat="1" ht="12.75">
      <c r="A437" s="5"/>
      <c r="B437" s="10" t="s">
        <v>615</v>
      </c>
      <c r="E437" s="39" t="s">
        <v>70</v>
      </c>
      <c r="M437" s="12"/>
    </row>
    <row r="438" spans="1:22" s="10" customFormat="1">
      <c r="A438" s="5"/>
      <c r="E438" s="39"/>
      <c r="F438" s="6"/>
      <c r="M438" s="12"/>
    </row>
    <row r="439" spans="1:22" s="10" customFormat="1" ht="12.75">
      <c r="A439" s="5"/>
      <c r="B439" s="87" t="s">
        <v>562</v>
      </c>
      <c r="D439" s="88" t="s">
        <v>50</v>
      </c>
      <c r="E439" s="89">
        <f>242.9+14.6</f>
        <v>257.5</v>
      </c>
      <c r="F439" s="90"/>
      <c r="G439" s="94"/>
      <c r="I439" s="161" t="s">
        <v>555</v>
      </c>
      <c r="J439" s="92"/>
      <c r="K439" s="92"/>
      <c r="L439" s="93" t="s">
        <v>50</v>
      </c>
      <c r="M439" s="13">
        <f>E439</f>
        <v>257.5</v>
      </c>
    </row>
    <row r="440" spans="1:22" s="10" customFormat="1" ht="12.75">
      <c r="A440" s="5"/>
      <c r="B440" s="10" t="s">
        <v>615</v>
      </c>
      <c r="E440" s="39" t="s">
        <v>70</v>
      </c>
      <c r="M440" s="12"/>
    </row>
    <row r="441" spans="1:22" s="10" customFormat="1">
      <c r="A441" s="5"/>
      <c r="E441" s="39"/>
      <c r="F441" s="6"/>
      <c r="M441" s="12"/>
    </row>
    <row r="442" spans="1:22" s="10" customFormat="1" ht="12.75">
      <c r="A442" s="214"/>
      <c r="B442" s="87" t="s">
        <v>193</v>
      </c>
      <c r="D442" s="88" t="s">
        <v>50</v>
      </c>
      <c r="E442" s="89">
        <v>184.7</v>
      </c>
      <c r="F442" s="215"/>
      <c r="G442" s="94"/>
      <c r="I442" s="161" t="s">
        <v>635</v>
      </c>
      <c r="J442" s="92"/>
      <c r="K442" s="92"/>
      <c r="L442" s="93" t="s">
        <v>50</v>
      </c>
      <c r="M442" s="13">
        <f>E442</f>
        <v>184.7</v>
      </c>
    </row>
    <row r="443" spans="1:22" s="10" customFormat="1" ht="12.75">
      <c r="A443" s="214"/>
      <c r="B443" s="10" t="s">
        <v>616</v>
      </c>
      <c r="E443" s="39" t="s">
        <v>70</v>
      </c>
      <c r="M443" s="12"/>
    </row>
    <row r="444" spans="1:22" s="10" customFormat="1">
      <c r="A444" s="214"/>
      <c r="E444" s="39"/>
      <c r="F444" s="6"/>
      <c r="M444" s="12"/>
    </row>
    <row r="445" spans="1:22" s="10" customFormat="1" ht="12.75">
      <c r="A445" s="214"/>
      <c r="B445" s="87" t="s">
        <v>562</v>
      </c>
      <c r="D445" s="88" t="s">
        <v>50</v>
      </c>
      <c r="E445" s="89">
        <v>3.1</v>
      </c>
      <c r="F445" s="215"/>
      <c r="G445" s="94"/>
      <c r="I445" s="161" t="s">
        <v>634</v>
      </c>
      <c r="J445" s="92"/>
      <c r="K445" s="92"/>
      <c r="L445" s="93" t="s">
        <v>50</v>
      </c>
      <c r="M445" s="13">
        <f>E445</f>
        <v>3.1</v>
      </c>
    </row>
    <row r="446" spans="1:22" s="10" customFormat="1" ht="12.75">
      <c r="A446" s="214"/>
      <c r="B446" s="10" t="s">
        <v>616</v>
      </c>
      <c r="E446" s="39" t="s">
        <v>70</v>
      </c>
      <c r="M446" s="12"/>
    </row>
    <row r="447" spans="1:22" s="10" customFormat="1">
      <c r="A447" s="214"/>
      <c r="E447" s="39"/>
      <c r="F447" s="6"/>
      <c r="M447" s="12"/>
    </row>
    <row r="448" spans="1:22" s="161" customFormat="1" ht="14.25" customHeight="1">
      <c r="A448" s="160"/>
      <c r="B448" s="161" t="s">
        <v>10</v>
      </c>
      <c r="L448" s="162" t="s">
        <v>50</v>
      </c>
      <c r="M448" s="46">
        <f>SUM(M436:M445)</f>
        <v>449.6</v>
      </c>
    </row>
    <row r="449" spans="1:22" s="10" customFormat="1" ht="12.75">
      <c r="A449" s="5"/>
      <c r="B449" s="87"/>
      <c r="D449" s="88"/>
      <c r="E449" s="91"/>
      <c r="F449" s="90"/>
      <c r="G449" s="91"/>
      <c r="H449" s="90"/>
      <c r="I449" s="90"/>
      <c r="J449" s="92"/>
      <c r="K449" s="92"/>
      <c r="L449" s="93"/>
      <c r="M449" s="14"/>
    </row>
    <row r="450" spans="1:22" s="10" customFormat="1" ht="26.25" customHeight="1">
      <c r="A450" s="38" t="str">
        <f>ORÇAMENTO!A61</f>
        <v>4.3.4</v>
      </c>
      <c r="B450" s="86"/>
      <c r="C450" s="388" t="str">
        <f>ORÇAMENTO!D61</f>
        <v>ARMADURA DE TELA DE AÇO CA-60, SOLDADA TIPO Q-138, DIÂMETRO Ø4,2MM, TRAMA COM DIMENSÃO (100X100)MM, INCLUSIVE ESPAÇADOR, EXCLUSIVE CONCRETO</v>
      </c>
      <c r="D450" s="388"/>
      <c r="E450" s="388"/>
      <c r="F450" s="388"/>
      <c r="G450" s="388"/>
      <c r="H450" s="388"/>
      <c r="I450" s="388"/>
      <c r="J450" s="388"/>
      <c r="K450" s="388"/>
      <c r="L450" s="388"/>
      <c r="M450" s="47" t="str">
        <f>ORÇAMENTO!E61</f>
        <v>M2</v>
      </c>
    </row>
    <row r="451" spans="1:22" s="10" customFormat="1" ht="12.75">
      <c r="A451" s="5"/>
      <c r="M451" s="12"/>
    </row>
    <row r="452" spans="1:22" s="10" customFormat="1" ht="12.75">
      <c r="A452" s="5"/>
      <c r="B452" s="87" t="s">
        <v>628</v>
      </c>
      <c r="D452" s="88" t="s">
        <v>50</v>
      </c>
      <c r="E452" s="89">
        <v>35.909999999999997</v>
      </c>
      <c r="F452" s="90"/>
      <c r="G452" s="94"/>
      <c r="I452" s="161" t="s">
        <v>554</v>
      </c>
      <c r="J452" s="92"/>
      <c r="K452" s="92"/>
      <c r="L452" s="93" t="s">
        <v>50</v>
      </c>
      <c r="M452" s="13">
        <f>E452</f>
        <v>35.909999999999997</v>
      </c>
    </row>
    <row r="453" spans="1:22" s="10" customFormat="1" ht="12.75">
      <c r="A453" s="5"/>
      <c r="B453" s="10" t="s">
        <v>615</v>
      </c>
      <c r="E453" s="39" t="s">
        <v>382</v>
      </c>
      <c r="M453" s="12"/>
    </row>
    <row r="454" spans="1:22" s="10" customFormat="1">
      <c r="A454" s="5"/>
      <c r="E454" s="39"/>
      <c r="F454" s="6"/>
      <c r="M454" s="12"/>
    </row>
    <row r="455" spans="1:22" s="10" customFormat="1" ht="12.75">
      <c r="A455" s="214"/>
      <c r="B455" s="87" t="s">
        <v>625</v>
      </c>
      <c r="D455" s="88" t="s">
        <v>50</v>
      </c>
      <c r="E455" s="89">
        <f>57.69</f>
        <v>57.69</v>
      </c>
      <c r="F455" s="220"/>
      <c r="G455" s="221"/>
      <c r="I455" s="161" t="s">
        <v>555</v>
      </c>
      <c r="J455" s="92"/>
      <c r="K455" s="92"/>
      <c r="L455" s="93" t="s">
        <v>50</v>
      </c>
      <c r="M455" s="13">
        <f>E455</f>
        <v>57.69</v>
      </c>
    </row>
    <row r="456" spans="1:22" s="10" customFormat="1" ht="12.75">
      <c r="A456" s="214"/>
      <c r="B456" s="10" t="s">
        <v>615</v>
      </c>
      <c r="E456" s="39" t="s">
        <v>382</v>
      </c>
      <c r="F456" s="222"/>
      <c r="G456" s="223"/>
      <c r="M456" s="12"/>
    </row>
    <row r="457" spans="1:22" s="10" customFormat="1">
      <c r="A457" s="214"/>
      <c r="E457" s="39"/>
      <c r="F457" s="6"/>
      <c r="M457" s="12"/>
    </row>
    <row r="458" spans="1:22" s="10" customFormat="1" ht="12.75">
      <c r="A458" s="214"/>
      <c r="B458" s="87" t="s">
        <v>628</v>
      </c>
      <c r="D458" s="88" t="s">
        <v>50</v>
      </c>
      <c r="E458" s="89">
        <v>45.15</v>
      </c>
      <c r="F458" s="220"/>
      <c r="G458" s="221"/>
      <c r="I458" s="161" t="s">
        <v>633</v>
      </c>
      <c r="J458" s="92"/>
      <c r="K458" s="92"/>
      <c r="L458" s="93" t="s">
        <v>50</v>
      </c>
      <c r="M458" s="13">
        <f>E458</f>
        <v>45.15</v>
      </c>
    </row>
    <row r="459" spans="1:22" s="10" customFormat="1" ht="12.75">
      <c r="A459" s="214"/>
      <c r="B459" s="10" t="s">
        <v>616</v>
      </c>
      <c r="E459" s="39" t="s">
        <v>382</v>
      </c>
      <c r="F459" s="222"/>
      <c r="G459" s="223"/>
      <c r="M459" s="12"/>
    </row>
    <row r="460" spans="1:22" s="10" customFormat="1">
      <c r="A460" s="214"/>
      <c r="E460" s="39"/>
      <c r="F460" s="224"/>
      <c r="G460" s="222"/>
      <c r="M460" s="12"/>
    </row>
    <row r="461" spans="1:22" s="10" customFormat="1" ht="12.75">
      <c r="A461" s="214"/>
      <c r="B461" s="87" t="s">
        <v>625</v>
      </c>
      <c r="D461" s="88" t="s">
        <v>50</v>
      </c>
      <c r="E461" s="89">
        <v>31.55</v>
      </c>
      <c r="F461" s="220"/>
      <c r="G461" s="221"/>
      <c r="I461" s="161" t="s">
        <v>634</v>
      </c>
      <c r="J461" s="92"/>
      <c r="K461" s="92"/>
      <c r="L461" s="93" t="s">
        <v>50</v>
      </c>
      <c r="M461" s="13">
        <f>E461</f>
        <v>31.55</v>
      </c>
    </row>
    <row r="462" spans="1:22" s="10" customFormat="1" ht="12.75">
      <c r="A462" s="214"/>
      <c r="B462" s="10" t="s">
        <v>616</v>
      </c>
      <c r="E462" s="39" t="s">
        <v>382</v>
      </c>
      <c r="F462" s="222"/>
      <c r="G462" s="223"/>
      <c r="M462" s="12"/>
    </row>
    <row r="463" spans="1:22" s="10" customFormat="1">
      <c r="A463" s="214"/>
      <c r="E463" s="39"/>
      <c r="F463" s="6"/>
      <c r="M463" s="12"/>
    </row>
    <row r="464" spans="1:22" s="10" customFormat="1" ht="12.75">
      <c r="A464" s="11"/>
      <c r="B464" s="10" t="s">
        <v>96</v>
      </c>
      <c r="L464" s="93" t="s">
        <v>50</v>
      </c>
      <c r="M464" s="46">
        <f>SUM(M452:M461)</f>
        <v>170.3</v>
      </c>
      <c r="T464" s="39"/>
      <c r="V464" s="39"/>
    </row>
    <row r="465" spans="1:22" s="10" customFormat="1" ht="12.75">
      <c r="A465" s="11"/>
      <c r="L465" s="93"/>
      <c r="M465" s="14"/>
      <c r="T465" s="39"/>
      <c r="V465" s="39"/>
    </row>
    <row r="466" spans="1:22" s="10" customFormat="1" ht="26.25" customHeight="1">
      <c r="A466" s="38" t="str">
        <f>ORÇAMENTO!A62</f>
        <v>4.3.5</v>
      </c>
      <c r="B466" s="86"/>
      <c r="C466" s="388" t="str">
        <f>ORÇAMENTO!D62</f>
        <v>ARMADURA DE TELA DE AÇO CA-60, SOLDADA TIPO Q-92, DIÂMETRO Ø4,2MM, TRAMA COM DIMENSÃO (150X150)MM, INCLUSIVE ESPAÇADOR, EXCLUSIVE CONCRETO</v>
      </c>
      <c r="D466" s="388"/>
      <c r="E466" s="388"/>
      <c r="F466" s="388"/>
      <c r="G466" s="388"/>
      <c r="H466" s="388"/>
      <c r="I466" s="388"/>
      <c r="J466" s="388"/>
      <c r="K466" s="388"/>
      <c r="L466" s="388"/>
      <c r="M466" s="47" t="str">
        <f>ORÇAMENTO!E62</f>
        <v>M2</v>
      </c>
    </row>
    <row r="467" spans="1:22" s="10" customFormat="1" ht="12.75">
      <c r="A467" s="5"/>
      <c r="M467" s="12"/>
    </row>
    <row r="468" spans="1:22" s="10" customFormat="1" ht="12.75">
      <c r="A468" s="5"/>
      <c r="B468" s="87" t="s">
        <v>625</v>
      </c>
      <c r="D468" s="88" t="s">
        <v>50</v>
      </c>
      <c r="E468" s="89">
        <f>57.69</f>
        <v>57.69</v>
      </c>
      <c r="F468" s="90"/>
      <c r="G468" s="94"/>
      <c r="I468" s="161" t="s">
        <v>555</v>
      </c>
      <c r="J468" s="92"/>
      <c r="K468" s="92"/>
      <c r="L468" s="93" t="s">
        <v>50</v>
      </c>
      <c r="M468" s="13">
        <f>E468</f>
        <v>57.69</v>
      </c>
    </row>
    <row r="469" spans="1:22" s="10" customFormat="1" ht="12.75">
      <c r="A469" s="5"/>
      <c r="B469" s="10" t="s">
        <v>615</v>
      </c>
      <c r="E469" s="39" t="s">
        <v>194</v>
      </c>
      <c r="G469" s="39"/>
      <c r="M469" s="12"/>
    </row>
    <row r="470" spans="1:22" s="10" customFormat="1">
      <c r="A470" s="5"/>
      <c r="E470" s="39"/>
      <c r="F470" s="6"/>
      <c r="M470" s="12"/>
    </row>
    <row r="471" spans="1:22" s="10" customFormat="1" ht="12.75">
      <c r="A471" s="214"/>
      <c r="B471" s="87" t="s">
        <v>625</v>
      </c>
      <c r="D471" s="88" t="s">
        <v>50</v>
      </c>
      <c r="E471" s="89">
        <v>31.55</v>
      </c>
      <c r="F471" s="215"/>
      <c r="G471" s="94"/>
      <c r="I471" s="161" t="s">
        <v>634</v>
      </c>
      <c r="J471" s="92"/>
      <c r="K471" s="92"/>
      <c r="L471" s="93" t="s">
        <v>50</v>
      </c>
      <c r="M471" s="13">
        <f>E471</f>
        <v>31.55</v>
      </c>
    </row>
    <row r="472" spans="1:22" s="10" customFormat="1" ht="12.75">
      <c r="A472" s="214"/>
      <c r="B472" s="10" t="s">
        <v>616</v>
      </c>
      <c r="E472" s="39" t="s">
        <v>194</v>
      </c>
      <c r="G472" s="39"/>
      <c r="M472" s="12"/>
    </row>
    <row r="473" spans="1:22" s="10" customFormat="1">
      <c r="A473" s="214"/>
      <c r="E473" s="39"/>
      <c r="F473" s="6"/>
      <c r="M473" s="12"/>
    </row>
    <row r="474" spans="1:22" s="161" customFormat="1" ht="12.75">
      <c r="A474" s="163"/>
      <c r="B474" s="161" t="s">
        <v>96</v>
      </c>
      <c r="L474" s="162" t="s">
        <v>50</v>
      </c>
      <c r="M474" s="46">
        <f>SUM(M468:M471)</f>
        <v>89.24</v>
      </c>
      <c r="T474" s="174"/>
      <c r="V474" s="174"/>
    </row>
    <row r="475" spans="1:22" s="10" customFormat="1" ht="12.75">
      <c r="A475" s="11"/>
      <c r="L475" s="93"/>
      <c r="M475" s="14"/>
      <c r="T475" s="39"/>
      <c r="V475" s="39"/>
    </row>
    <row r="476" spans="1:22" s="10" customFormat="1" ht="26.25" customHeight="1">
      <c r="A476" s="38" t="str">
        <f>ORÇAMENTO!A63</f>
        <v>4.3.6</v>
      </c>
      <c r="B476" s="86"/>
      <c r="C476" s="388" t="str">
        <f>ORÇAMENTO!D63</f>
        <v>CIMBRAMENTO PARA LAJE PRÉ-MOLDADA COM ESCORAMENTO METÁLICO, TIPO "A", ALTURA DE (200 ATÉ 310)CM, INCLUSIVE DESCARGA, MONTAGEM, DESMONTAGEM E CARGA</v>
      </c>
      <c r="D476" s="388"/>
      <c r="E476" s="388"/>
      <c r="F476" s="388"/>
      <c r="G476" s="388"/>
      <c r="H476" s="388"/>
      <c r="I476" s="388"/>
      <c r="J476" s="388"/>
      <c r="K476" s="388"/>
      <c r="L476" s="388"/>
      <c r="M476" s="47" t="str">
        <f>ORÇAMENTO!E63</f>
        <v>M2XMES</v>
      </c>
    </row>
    <row r="477" spans="1:22" s="10" customFormat="1" ht="12.75">
      <c r="A477" s="5"/>
      <c r="M477" s="12"/>
    </row>
    <row r="478" spans="1:22" s="10" customFormat="1" ht="12.75">
      <c r="A478" s="5"/>
      <c r="B478" s="87" t="s">
        <v>628</v>
      </c>
      <c r="D478" s="88" t="s">
        <v>50</v>
      </c>
      <c r="E478" s="89">
        <v>35.909999999999997</v>
      </c>
      <c r="F478" s="90" t="s">
        <v>69</v>
      </c>
      <c r="G478" s="89">
        <v>2</v>
      </c>
      <c r="I478" s="161" t="s">
        <v>554</v>
      </c>
      <c r="J478" s="92"/>
      <c r="K478" s="92"/>
      <c r="L478" s="93" t="s">
        <v>50</v>
      </c>
      <c r="M478" s="13">
        <f>E478*G478</f>
        <v>71.819999999999993</v>
      </c>
    </row>
    <row r="479" spans="1:22" s="10" customFormat="1" ht="12.75">
      <c r="A479" s="5"/>
      <c r="B479" s="10" t="s">
        <v>615</v>
      </c>
      <c r="E479" s="39" t="s">
        <v>382</v>
      </c>
      <c r="G479" s="39" t="s">
        <v>136</v>
      </c>
      <c r="M479" s="12"/>
    </row>
    <row r="480" spans="1:22" s="10" customFormat="1">
      <c r="A480" s="5"/>
      <c r="E480" s="39"/>
      <c r="F480" s="6"/>
      <c r="M480" s="12"/>
    </row>
    <row r="481" spans="1:22" s="10" customFormat="1" ht="12.75">
      <c r="A481" s="214"/>
      <c r="B481" s="87" t="s">
        <v>627</v>
      </c>
      <c r="D481" s="88" t="s">
        <v>50</v>
      </c>
      <c r="E481" s="89">
        <f>12.85</f>
        <v>12.85</v>
      </c>
      <c r="F481" s="215" t="s">
        <v>69</v>
      </c>
      <c r="G481" s="89">
        <v>2</v>
      </c>
      <c r="I481" s="161" t="s">
        <v>555</v>
      </c>
      <c r="J481" s="92"/>
      <c r="K481" s="92"/>
      <c r="L481" s="93" t="s">
        <v>50</v>
      </c>
      <c r="M481" s="13">
        <f>E481*G481</f>
        <v>25.7</v>
      </c>
    </row>
    <row r="482" spans="1:22" s="10" customFormat="1" ht="12.75">
      <c r="A482" s="214"/>
      <c r="B482" s="10" t="s">
        <v>615</v>
      </c>
      <c r="E482" s="39" t="s">
        <v>382</v>
      </c>
      <c r="G482" s="39" t="s">
        <v>136</v>
      </c>
      <c r="M482" s="12"/>
    </row>
    <row r="483" spans="1:22" s="10" customFormat="1">
      <c r="A483" s="214"/>
      <c r="E483" s="39"/>
      <c r="F483" s="6"/>
      <c r="M483" s="12"/>
    </row>
    <row r="484" spans="1:22" s="10" customFormat="1" ht="12.75">
      <c r="A484" s="5"/>
      <c r="B484" s="87" t="s">
        <v>625</v>
      </c>
      <c r="D484" s="88" t="s">
        <v>50</v>
      </c>
      <c r="E484" s="89">
        <f>57.69</f>
        <v>57.69</v>
      </c>
      <c r="F484" s="90" t="s">
        <v>69</v>
      </c>
      <c r="G484" s="89">
        <v>2</v>
      </c>
      <c r="I484" s="161" t="s">
        <v>555</v>
      </c>
      <c r="J484" s="92"/>
      <c r="K484" s="92"/>
      <c r="L484" s="93" t="s">
        <v>50</v>
      </c>
      <c r="M484" s="13">
        <f>E484*G484</f>
        <v>115.38</v>
      </c>
    </row>
    <row r="485" spans="1:22" s="10" customFormat="1" ht="12.75">
      <c r="A485" s="5"/>
      <c r="B485" s="10" t="s">
        <v>615</v>
      </c>
      <c r="E485" s="39" t="s">
        <v>382</v>
      </c>
      <c r="G485" s="39" t="s">
        <v>136</v>
      </c>
      <c r="M485" s="12"/>
    </row>
    <row r="486" spans="1:22" s="10" customFormat="1">
      <c r="A486" s="5"/>
      <c r="E486" s="39"/>
      <c r="F486" s="6"/>
      <c r="M486" s="12"/>
    </row>
    <row r="487" spans="1:22" s="10" customFormat="1" ht="12.75">
      <c r="A487" s="214"/>
      <c r="B487" s="87" t="s">
        <v>628</v>
      </c>
      <c r="D487" s="88" t="s">
        <v>50</v>
      </c>
      <c r="E487" s="89">
        <v>45.15</v>
      </c>
      <c r="F487" s="215" t="s">
        <v>69</v>
      </c>
      <c r="G487" s="89">
        <v>2</v>
      </c>
      <c r="I487" s="161" t="s">
        <v>633</v>
      </c>
      <c r="J487" s="92"/>
      <c r="K487" s="92"/>
      <c r="L487" s="93" t="s">
        <v>50</v>
      </c>
      <c r="M487" s="13">
        <f>E487*G487</f>
        <v>90.3</v>
      </c>
    </row>
    <row r="488" spans="1:22" s="10" customFormat="1" ht="12.75">
      <c r="A488" s="214"/>
      <c r="B488" s="10" t="s">
        <v>616</v>
      </c>
      <c r="E488" s="39" t="s">
        <v>382</v>
      </c>
      <c r="G488" s="39" t="s">
        <v>136</v>
      </c>
      <c r="M488" s="12"/>
    </row>
    <row r="489" spans="1:22" s="10" customFormat="1">
      <c r="A489" s="214"/>
      <c r="E489" s="39"/>
      <c r="F489" s="6"/>
      <c r="M489" s="12"/>
    </row>
    <row r="490" spans="1:22" s="10" customFormat="1" ht="12.75">
      <c r="A490" s="214"/>
      <c r="B490" s="87" t="s">
        <v>622</v>
      </c>
      <c r="D490" s="88" t="s">
        <v>50</v>
      </c>
      <c r="E490" s="89">
        <v>22.05</v>
      </c>
      <c r="F490" s="215" t="s">
        <v>69</v>
      </c>
      <c r="G490" s="89">
        <v>2</v>
      </c>
      <c r="I490" s="161" t="s">
        <v>633</v>
      </c>
      <c r="J490" s="92"/>
      <c r="K490" s="92"/>
      <c r="L490" s="93" t="s">
        <v>50</v>
      </c>
      <c r="M490" s="13">
        <f>E490*G490</f>
        <v>44.1</v>
      </c>
    </row>
    <row r="491" spans="1:22" s="10" customFormat="1" ht="12.75">
      <c r="A491" s="214"/>
      <c r="B491" s="10" t="s">
        <v>616</v>
      </c>
      <c r="E491" s="39" t="s">
        <v>382</v>
      </c>
      <c r="G491" s="39" t="s">
        <v>136</v>
      </c>
      <c r="M491" s="12"/>
    </row>
    <row r="492" spans="1:22" s="10" customFormat="1">
      <c r="A492" s="214"/>
      <c r="E492" s="39"/>
      <c r="F492" s="6"/>
      <c r="M492" s="12"/>
    </row>
    <row r="493" spans="1:22" s="10" customFormat="1" ht="12.75">
      <c r="A493" s="214"/>
      <c r="B493" s="87" t="s">
        <v>625</v>
      </c>
      <c r="D493" s="88" t="s">
        <v>50</v>
      </c>
      <c r="E493" s="89">
        <v>31.55</v>
      </c>
      <c r="F493" s="215" t="s">
        <v>69</v>
      </c>
      <c r="G493" s="89">
        <v>2</v>
      </c>
      <c r="I493" s="161" t="s">
        <v>634</v>
      </c>
      <c r="J493" s="92"/>
      <c r="K493" s="92"/>
      <c r="L493" s="93" t="s">
        <v>50</v>
      </c>
      <c r="M493" s="13">
        <f>E493*G493</f>
        <v>63.1</v>
      </c>
    </row>
    <row r="494" spans="1:22" s="10" customFormat="1" ht="12.75">
      <c r="A494" s="214"/>
      <c r="B494" s="10" t="s">
        <v>616</v>
      </c>
      <c r="E494" s="39" t="s">
        <v>382</v>
      </c>
      <c r="G494" s="39" t="s">
        <v>136</v>
      </c>
      <c r="M494" s="12"/>
    </row>
    <row r="495" spans="1:22" s="10" customFormat="1">
      <c r="A495" s="214"/>
      <c r="E495" s="39"/>
      <c r="F495" s="6"/>
      <c r="M495" s="12"/>
    </row>
    <row r="496" spans="1:22" s="161" customFormat="1" ht="12.75">
      <c r="A496" s="163"/>
      <c r="B496" s="161" t="s">
        <v>96</v>
      </c>
      <c r="L496" s="162" t="s">
        <v>50</v>
      </c>
      <c r="M496" s="46">
        <f>SUM(M478:M493)</f>
        <v>410.40000000000003</v>
      </c>
      <c r="T496" s="174"/>
      <c r="V496" s="174"/>
    </row>
    <row r="497" spans="1:22" s="10" customFormat="1" ht="12.75">
      <c r="A497" s="11"/>
      <c r="L497" s="93"/>
      <c r="M497" s="14"/>
      <c r="T497" s="39"/>
      <c r="V497" s="39"/>
    </row>
    <row r="498" spans="1:22" s="10" customFormat="1" ht="15">
      <c r="A498" s="16" t="str">
        <f>ORÇAMENTO!A66</f>
        <v>5.</v>
      </c>
      <c r="B498" s="85"/>
      <c r="C498" s="384" t="str">
        <f>ORÇAMENTO!B66</f>
        <v>ALVENARIA / DIVISORIAS E BANCADAS</v>
      </c>
      <c r="D498" s="384"/>
      <c r="E498" s="384"/>
      <c r="F498" s="384"/>
      <c r="G498" s="384"/>
      <c r="H498" s="384"/>
      <c r="I498" s="384"/>
      <c r="J498" s="384"/>
      <c r="K498" s="384"/>
      <c r="L498" s="384"/>
      <c r="M498" s="385"/>
    </row>
    <row r="499" spans="1:22" s="10" customFormat="1" ht="12.75">
      <c r="A499" s="11"/>
      <c r="M499" s="12"/>
    </row>
    <row r="500" spans="1:22" s="10" customFormat="1" ht="26.25" customHeight="1">
      <c r="A500" s="106" t="str">
        <f>ORÇAMENTO!A67</f>
        <v>5.1</v>
      </c>
      <c r="B500" s="107"/>
      <c r="C500" s="383" t="str">
        <f>ORÇAMENTO!D67</f>
        <v>ALVENARIA DE VEDAÇÃO COM TIJOLO CERÂMICO FURADO, ESP. 14CM, PARA REVESTIMENTO, INCLUSIVE ARGAMASSA PARA ASSENTAMENTO</v>
      </c>
      <c r="D500" s="383"/>
      <c r="E500" s="383"/>
      <c r="F500" s="383"/>
      <c r="G500" s="383"/>
      <c r="H500" s="383"/>
      <c r="I500" s="383"/>
      <c r="J500" s="383"/>
      <c r="K500" s="383"/>
      <c r="L500" s="383"/>
      <c r="M500" s="108" t="str">
        <f>ORÇAMENTO!E67</f>
        <v>M2</v>
      </c>
    </row>
    <row r="501" spans="1:22" s="10" customFormat="1" ht="12.75">
      <c r="A501" s="11"/>
      <c r="M501" s="12"/>
    </row>
    <row r="502" spans="1:22" s="10" customFormat="1" ht="12.75">
      <c r="A502" s="11"/>
      <c r="B502" s="10" t="s">
        <v>222</v>
      </c>
      <c r="D502" s="88" t="s">
        <v>50</v>
      </c>
      <c r="E502" s="89">
        <v>26.33</v>
      </c>
      <c r="F502" s="90" t="s">
        <v>69</v>
      </c>
      <c r="G502" s="89">
        <v>0.5</v>
      </c>
      <c r="H502" s="90"/>
      <c r="I502" s="153" t="s">
        <v>566</v>
      </c>
      <c r="J502" s="92"/>
      <c r="K502" s="92"/>
      <c r="L502" s="93" t="s">
        <v>50</v>
      </c>
      <c r="M502" s="13">
        <f>E502*G502</f>
        <v>13.164999999999999</v>
      </c>
    </row>
    <row r="503" spans="1:22" s="10" customFormat="1" ht="12.75">
      <c r="A503" s="11"/>
      <c r="B503" s="10" t="s">
        <v>615</v>
      </c>
      <c r="E503" s="99" t="s">
        <v>120</v>
      </c>
      <c r="G503" s="99" t="s">
        <v>264</v>
      </c>
      <c r="I503" s="99"/>
      <c r="M503" s="12"/>
    </row>
    <row r="504" spans="1:22" s="10" customFormat="1" ht="12.75" customHeight="1">
      <c r="A504" s="11"/>
      <c r="E504" s="99"/>
      <c r="G504" s="99"/>
      <c r="I504" s="99"/>
      <c r="M504" s="12"/>
    </row>
    <row r="505" spans="1:22" s="10" customFormat="1" ht="12.75">
      <c r="A505" s="11"/>
      <c r="B505" s="10" t="s">
        <v>222</v>
      </c>
      <c r="D505" s="88" t="s">
        <v>50</v>
      </c>
      <c r="E505" s="89">
        <v>15.819000000000001</v>
      </c>
      <c r="F505" s="219" t="s">
        <v>69</v>
      </c>
      <c r="G505" s="89">
        <v>0.5</v>
      </c>
      <c r="H505" s="219"/>
      <c r="I505" s="153" t="s">
        <v>566</v>
      </c>
      <c r="J505" s="92"/>
      <c r="K505" s="92"/>
      <c r="L505" s="93" t="s">
        <v>50</v>
      </c>
      <c r="M505" s="13">
        <f>E505*G505</f>
        <v>7.9095000000000004</v>
      </c>
    </row>
    <row r="506" spans="1:22" s="10" customFormat="1" ht="12.75">
      <c r="A506" s="11"/>
      <c r="B506" s="10" t="s">
        <v>616</v>
      </c>
      <c r="E506" s="99" t="s">
        <v>120</v>
      </c>
      <c r="G506" s="99" t="s">
        <v>264</v>
      </c>
      <c r="I506" s="99"/>
      <c r="M506" s="12"/>
    </row>
    <row r="507" spans="1:22" s="10" customFormat="1" ht="12.75" customHeight="1">
      <c r="A507" s="11"/>
      <c r="E507" s="99"/>
      <c r="G507" s="99"/>
      <c r="I507" s="99"/>
      <c r="M507" s="12"/>
    </row>
    <row r="508" spans="1:22" s="10" customFormat="1" ht="12.75">
      <c r="A508" s="11"/>
      <c r="B508" s="10" t="s">
        <v>200</v>
      </c>
      <c r="D508" s="88" t="s">
        <v>50</v>
      </c>
      <c r="E508" s="89">
        <f>24.61</f>
        <v>24.61</v>
      </c>
      <c r="F508" s="219" t="s">
        <v>69</v>
      </c>
      <c r="G508" s="89">
        <v>2.9</v>
      </c>
      <c r="I508" s="94"/>
      <c r="J508" s="92"/>
      <c r="K508" s="92"/>
      <c r="L508" s="93" t="s">
        <v>50</v>
      </c>
      <c r="M508" s="13">
        <f>E508*G508</f>
        <v>71.369</v>
      </c>
    </row>
    <row r="509" spans="1:22" s="10" customFormat="1" ht="12.75">
      <c r="A509" s="11"/>
      <c r="B509" s="10" t="s">
        <v>615</v>
      </c>
      <c r="E509" s="99" t="s">
        <v>120</v>
      </c>
      <c r="G509" s="99" t="s">
        <v>264</v>
      </c>
      <c r="I509" s="99"/>
      <c r="M509" s="12"/>
    </row>
    <row r="510" spans="1:22" s="10" customFormat="1" ht="12.75" customHeight="1">
      <c r="A510" s="11"/>
      <c r="E510" s="99"/>
      <c r="G510" s="99"/>
      <c r="I510" s="99"/>
      <c r="M510" s="12"/>
    </row>
    <row r="511" spans="1:22" s="10" customFormat="1" ht="12.75">
      <c r="A511" s="11"/>
      <c r="B511" s="10" t="s">
        <v>200</v>
      </c>
      <c r="D511" s="88" t="s">
        <v>50</v>
      </c>
      <c r="E511" s="89">
        <f>3.13+2.98</f>
        <v>6.1099999999999994</v>
      </c>
      <c r="F511" s="90" t="s">
        <v>69</v>
      </c>
      <c r="G511" s="89">
        <v>2.9</v>
      </c>
      <c r="I511" s="94"/>
      <c r="J511" s="92"/>
      <c r="K511" s="92"/>
      <c r="L511" s="93" t="s">
        <v>50</v>
      </c>
      <c r="M511" s="13">
        <f>E511*G511</f>
        <v>17.718999999999998</v>
      </c>
    </row>
    <row r="512" spans="1:22" s="10" customFormat="1" ht="12.75">
      <c r="A512" s="11"/>
      <c r="B512" s="10" t="s">
        <v>639</v>
      </c>
      <c r="E512" s="99" t="s">
        <v>120</v>
      </c>
      <c r="G512" s="99" t="s">
        <v>264</v>
      </c>
      <c r="I512" s="99"/>
      <c r="M512" s="12"/>
    </row>
    <row r="513" spans="1:13" s="10" customFormat="1" ht="12.75" customHeight="1">
      <c r="A513" s="11"/>
      <c r="E513" s="99"/>
      <c r="G513" s="99"/>
      <c r="I513" s="99"/>
      <c r="M513" s="12"/>
    </row>
    <row r="514" spans="1:13" s="10" customFormat="1" ht="12.75">
      <c r="A514" s="11"/>
      <c r="B514" s="10" t="s">
        <v>200</v>
      </c>
      <c r="D514" s="88" t="s">
        <v>50</v>
      </c>
      <c r="E514" s="89">
        <v>3.67</v>
      </c>
      <c r="F514" s="208" t="s">
        <v>69</v>
      </c>
      <c r="G514" s="89">
        <v>1.1499999999999999</v>
      </c>
      <c r="I514" s="94" t="s">
        <v>564</v>
      </c>
      <c r="J514" s="92"/>
      <c r="K514" s="92"/>
      <c r="L514" s="93" t="s">
        <v>50</v>
      </c>
      <c r="M514" s="13">
        <f>E514*G514</f>
        <v>4.2204999999999995</v>
      </c>
    </row>
    <row r="515" spans="1:13" s="10" customFormat="1" ht="12.75">
      <c r="A515" s="11"/>
      <c r="B515" s="10" t="s">
        <v>615</v>
      </c>
      <c r="E515" s="99" t="s">
        <v>120</v>
      </c>
      <c r="G515" s="99" t="s">
        <v>264</v>
      </c>
      <c r="I515" s="99"/>
      <c r="M515" s="12"/>
    </row>
    <row r="516" spans="1:13" s="10" customFormat="1" ht="12.75" customHeight="1">
      <c r="A516" s="11"/>
      <c r="E516" s="99"/>
      <c r="G516" s="99"/>
      <c r="I516" s="99"/>
      <c r="M516" s="12"/>
    </row>
    <row r="517" spans="1:13" s="10" customFormat="1" ht="12.75">
      <c r="A517" s="11"/>
      <c r="B517" s="10" t="s">
        <v>200</v>
      </c>
      <c r="D517" s="88" t="s">
        <v>50</v>
      </c>
      <c r="E517" s="89">
        <f>12.737+5.49+1.775+4.933+11.542+3.471</f>
        <v>39.947999999999993</v>
      </c>
      <c r="F517" s="219" t="s">
        <v>69</v>
      </c>
      <c r="G517" s="89">
        <v>2.9</v>
      </c>
      <c r="I517" s="94"/>
      <c r="J517" s="92"/>
      <c r="K517" s="92"/>
      <c r="L517" s="93" t="s">
        <v>50</v>
      </c>
      <c r="M517" s="13">
        <f>E517*G517</f>
        <v>115.84919999999998</v>
      </c>
    </row>
    <row r="518" spans="1:13" s="10" customFormat="1" ht="12.75">
      <c r="A518" s="11"/>
      <c r="B518" s="10" t="s">
        <v>640</v>
      </c>
      <c r="E518" s="99" t="s">
        <v>120</v>
      </c>
      <c r="G518" s="99" t="s">
        <v>264</v>
      </c>
      <c r="I518" s="99"/>
      <c r="M518" s="12"/>
    </row>
    <row r="519" spans="1:13" s="10" customFormat="1" ht="12.75" customHeight="1">
      <c r="A519" s="11"/>
      <c r="E519" s="99"/>
      <c r="G519" s="99"/>
      <c r="I519" s="99"/>
      <c r="M519" s="12"/>
    </row>
    <row r="520" spans="1:13" s="10" customFormat="1" ht="12.75">
      <c r="A520" s="11"/>
      <c r="B520" s="10" t="s">
        <v>200</v>
      </c>
      <c r="D520" s="88" t="s">
        <v>50</v>
      </c>
      <c r="E520" s="89">
        <v>8.6639999999999997</v>
      </c>
      <c r="F520" s="219" t="s">
        <v>69</v>
      </c>
      <c r="G520" s="89">
        <v>1.9</v>
      </c>
      <c r="I520" s="94" t="s">
        <v>641</v>
      </c>
      <c r="J520" s="92"/>
      <c r="K520" s="92"/>
      <c r="L520" s="93" t="s">
        <v>50</v>
      </c>
      <c r="M520" s="13">
        <f>E520*G520</f>
        <v>16.461599999999997</v>
      </c>
    </row>
    <row r="521" spans="1:13" s="10" customFormat="1" ht="12.75">
      <c r="A521" s="11"/>
      <c r="B521" s="10" t="s">
        <v>616</v>
      </c>
      <c r="E521" s="99" t="s">
        <v>120</v>
      </c>
      <c r="G521" s="99" t="s">
        <v>264</v>
      </c>
      <c r="I521" s="99"/>
      <c r="M521" s="12"/>
    </row>
    <row r="522" spans="1:13" s="10" customFormat="1" ht="12.75" customHeight="1">
      <c r="A522" s="11"/>
      <c r="E522" s="99"/>
      <c r="G522" s="99"/>
      <c r="I522" s="99"/>
      <c r="M522" s="12"/>
    </row>
    <row r="523" spans="1:13" s="10" customFormat="1" ht="12.75">
      <c r="A523" s="11"/>
      <c r="B523" s="10" t="s">
        <v>200</v>
      </c>
      <c r="D523" s="88" t="s">
        <v>50</v>
      </c>
      <c r="E523" s="89">
        <v>8.6639999999999997</v>
      </c>
      <c r="F523" s="219" t="s">
        <v>69</v>
      </c>
      <c r="G523" s="89">
        <v>2.15</v>
      </c>
      <c r="I523" s="94"/>
      <c r="J523" s="92"/>
      <c r="K523" s="92"/>
      <c r="L523" s="93" t="s">
        <v>50</v>
      </c>
      <c r="M523" s="13">
        <f>E523*G523</f>
        <v>18.627599999999997</v>
      </c>
    </row>
    <row r="524" spans="1:13" s="10" customFormat="1" ht="12.75">
      <c r="A524" s="11"/>
      <c r="B524" s="10" t="s">
        <v>616</v>
      </c>
      <c r="E524" s="99" t="s">
        <v>120</v>
      </c>
      <c r="G524" s="99" t="s">
        <v>264</v>
      </c>
      <c r="I524" s="99"/>
      <c r="M524" s="12"/>
    </row>
    <row r="525" spans="1:13" s="10" customFormat="1" ht="12.75" customHeight="1">
      <c r="A525" s="11"/>
      <c r="E525" s="99"/>
      <c r="G525" s="99"/>
      <c r="I525" s="99"/>
      <c r="M525" s="12"/>
    </row>
    <row r="526" spans="1:13" s="161" customFormat="1" ht="12.75">
      <c r="A526" s="163"/>
      <c r="B526" s="161" t="s">
        <v>10</v>
      </c>
      <c r="E526" s="161" t="s">
        <v>149</v>
      </c>
      <c r="I526" s="165" t="s">
        <v>265</v>
      </c>
      <c r="L526" s="162" t="s">
        <v>50</v>
      </c>
      <c r="M526" s="46">
        <f>SUM(M502:M523)</f>
        <v>265.32139999999998</v>
      </c>
    </row>
    <row r="527" spans="1:13" s="10" customFormat="1" ht="12.75">
      <c r="A527" s="11"/>
      <c r="M527" s="12"/>
    </row>
    <row r="528" spans="1:13" s="10" customFormat="1" ht="26.25" customHeight="1">
      <c r="A528" s="106" t="str">
        <f>ORÇAMENTO!A68</f>
        <v>5.2</v>
      </c>
      <c r="B528" s="107"/>
      <c r="C528" s="383" t="str">
        <f>ORÇAMENTO!D68</f>
        <v>ALVENARIA DE VEDAÇÃO COM BLOCO DE CONCRETO, ESP. 19CM, INCLUSIVE ARGAMASSA PARA ASSENTAMENTO</v>
      </c>
      <c r="D528" s="383"/>
      <c r="E528" s="383"/>
      <c r="F528" s="383"/>
      <c r="G528" s="383"/>
      <c r="H528" s="383"/>
      <c r="I528" s="383"/>
      <c r="J528" s="383"/>
      <c r="K528" s="383"/>
      <c r="L528" s="383"/>
      <c r="M528" s="108" t="str">
        <f>ORÇAMENTO!E68</f>
        <v>M2</v>
      </c>
    </row>
    <row r="529" spans="1:13" s="10" customFormat="1" ht="12.75">
      <c r="A529" s="11"/>
      <c r="M529" s="12"/>
    </row>
    <row r="530" spans="1:13" s="10" customFormat="1" ht="12.75">
      <c r="A530" s="11"/>
      <c r="B530" s="10" t="s">
        <v>561</v>
      </c>
      <c r="D530" s="88" t="s">
        <v>50</v>
      </c>
      <c r="E530" s="89">
        <f>28.26+4.79</f>
        <v>33.050000000000004</v>
      </c>
      <c r="F530" s="90" t="s">
        <v>69</v>
      </c>
      <c r="G530" s="89">
        <v>1.25</v>
      </c>
      <c r="I530" s="94" t="s">
        <v>567</v>
      </c>
      <c r="J530" s="92"/>
      <c r="K530" s="92"/>
      <c r="L530" s="93" t="s">
        <v>50</v>
      </c>
      <c r="M530" s="13">
        <f>E530*G530</f>
        <v>41.312500000000007</v>
      </c>
    </row>
    <row r="531" spans="1:13" s="10" customFormat="1" ht="12.75">
      <c r="A531" s="11"/>
      <c r="B531" s="10" t="s">
        <v>615</v>
      </c>
      <c r="E531" s="99" t="s">
        <v>120</v>
      </c>
      <c r="G531" s="99" t="s">
        <v>264</v>
      </c>
      <c r="I531" s="99"/>
      <c r="M531" s="12"/>
    </row>
    <row r="532" spans="1:13" s="10" customFormat="1" ht="12.75" customHeight="1">
      <c r="A532" s="11"/>
      <c r="E532" s="99"/>
      <c r="G532" s="99"/>
      <c r="I532" s="99"/>
      <c r="M532" s="12"/>
    </row>
    <row r="533" spans="1:13" s="10" customFormat="1" ht="12.75">
      <c r="A533" s="11"/>
      <c r="B533" s="10" t="s">
        <v>561</v>
      </c>
      <c r="D533" s="88" t="s">
        <v>50</v>
      </c>
      <c r="E533" s="89">
        <f>12.132+5.49+1.775+4.933+11.542+3.471</f>
        <v>39.343000000000004</v>
      </c>
      <c r="F533" s="219" t="s">
        <v>69</v>
      </c>
      <c r="G533" s="89">
        <v>1.37</v>
      </c>
      <c r="I533" s="94" t="s">
        <v>567</v>
      </c>
      <c r="J533" s="92"/>
      <c r="K533" s="92"/>
      <c r="L533" s="93" t="s">
        <v>50</v>
      </c>
      <c r="M533" s="13">
        <f>E533*G533</f>
        <v>53.899910000000006</v>
      </c>
    </row>
    <row r="534" spans="1:13" s="10" customFormat="1" ht="12.75">
      <c r="A534" s="11"/>
      <c r="B534" s="10" t="s">
        <v>616</v>
      </c>
      <c r="E534" s="99" t="s">
        <v>120</v>
      </c>
      <c r="G534" s="99" t="s">
        <v>264</v>
      </c>
      <c r="I534" s="99"/>
      <c r="M534" s="12"/>
    </row>
    <row r="535" spans="1:13" s="10" customFormat="1" ht="12.75" customHeight="1">
      <c r="A535" s="11"/>
      <c r="E535" s="99"/>
      <c r="G535" s="99"/>
      <c r="I535" s="99"/>
      <c r="M535" s="12"/>
    </row>
    <row r="536" spans="1:13" s="161" customFormat="1" ht="12.75">
      <c r="A536" s="163"/>
      <c r="B536" s="161" t="s">
        <v>10</v>
      </c>
      <c r="E536" s="161" t="s">
        <v>149</v>
      </c>
      <c r="I536" s="165" t="s">
        <v>265</v>
      </c>
      <c r="L536" s="162" t="s">
        <v>50</v>
      </c>
      <c r="M536" s="46">
        <f>SUM(M530:M533)</f>
        <v>95.212410000000006</v>
      </c>
    </row>
    <row r="537" spans="1:13" s="10" customFormat="1" ht="12.75">
      <c r="A537" s="11"/>
      <c r="M537" s="12"/>
    </row>
    <row r="538" spans="1:13" s="10" customFormat="1" ht="26.25" customHeight="1">
      <c r="A538" s="106" t="str">
        <f>ORÇAMENTO!A69</f>
        <v>5.3</v>
      </c>
      <c r="B538" s="107"/>
      <c r="C538" s="383" t="str">
        <f>ORÇAMENTO!D69</f>
        <v>PAREDE DE GESSO ACARTONADO (DRY-WALL), DIVISÃO ENTRE ÁREAS SECAS DE UMA MESMA UNIDADE (ST/ST), ESP. 115 MM, INCLUSIVE MONTANTES, GUIAS E ACESSÓRIOS, EXCLUSIVE ISOLANTE TÉRMICO/ACÚSTICO</v>
      </c>
      <c r="D538" s="383"/>
      <c r="E538" s="383"/>
      <c r="F538" s="383"/>
      <c r="G538" s="383"/>
      <c r="H538" s="383"/>
      <c r="I538" s="383"/>
      <c r="J538" s="383"/>
      <c r="K538" s="383"/>
      <c r="L538" s="383"/>
      <c r="M538" s="108" t="str">
        <f>ORÇAMENTO!E69</f>
        <v>M2</v>
      </c>
    </row>
    <row r="539" spans="1:13" s="10" customFormat="1" ht="12.75">
      <c r="A539" s="11"/>
      <c r="M539" s="12"/>
    </row>
    <row r="540" spans="1:13" s="10" customFormat="1" ht="12.75">
      <c r="A540" s="11"/>
      <c r="B540" s="10" t="s">
        <v>904</v>
      </c>
      <c r="D540" s="88" t="s">
        <v>50</v>
      </c>
      <c r="E540" s="89">
        <f>2.22</f>
        <v>2.2200000000000002</v>
      </c>
      <c r="F540" s="90" t="s">
        <v>69</v>
      </c>
      <c r="G540" s="89">
        <v>3</v>
      </c>
      <c r="H540" s="90"/>
      <c r="I540" s="91"/>
      <c r="J540" s="92"/>
      <c r="K540" s="92"/>
      <c r="L540" s="93" t="s">
        <v>50</v>
      </c>
      <c r="M540" s="13">
        <f>E540*G540</f>
        <v>6.66</v>
      </c>
    </row>
    <row r="541" spans="1:13" s="10" customFormat="1" ht="12.75">
      <c r="A541" s="11"/>
      <c r="B541" s="10" t="s">
        <v>200</v>
      </c>
      <c r="E541" s="39" t="s">
        <v>120</v>
      </c>
      <c r="G541" s="39" t="s">
        <v>264</v>
      </c>
      <c r="I541" s="39"/>
      <c r="M541" s="12"/>
    </row>
    <row r="542" spans="1:13" s="10" customFormat="1" ht="12.75" customHeight="1">
      <c r="A542" s="11"/>
      <c r="E542" s="39"/>
      <c r="G542" s="39"/>
      <c r="I542" s="39"/>
      <c r="M542" s="12"/>
    </row>
    <row r="543" spans="1:13" s="10" customFormat="1" ht="12.75">
      <c r="A543" s="11"/>
      <c r="B543" s="10" t="s">
        <v>905</v>
      </c>
      <c r="D543" s="88" t="s">
        <v>50</v>
      </c>
      <c r="E543" s="89">
        <f>0.4</f>
        <v>0.4</v>
      </c>
      <c r="F543" s="266" t="s">
        <v>69</v>
      </c>
      <c r="G543" s="89">
        <v>3</v>
      </c>
      <c r="H543" s="266"/>
      <c r="I543" s="91"/>
      <c r="J543" s="92"/>
      <c r="K543" s="92"/>
      <c r="L543" s="93" t="s">
        <v>50</v>
      </c>
      <c r="M543" s="13">
        <f>E543*G543</f>
        <v>1.2000000000000002</v>
      </c>
    </row>
    <row r="544" spans="1:13" s="10" customFormat="1" ht="12.75">
      <c r="A544" s="11"/>
      <c r="B544" s="10" t="s">
        <v>200</v>
      </c>
      <c r="E544" s="39" t="s">
        <v>120</v>
      </c>
      <c r="G544" s="39" t="s">
        <v>264</v>
      </c>
      <c r="I544" s="39"/>
      <c r="M544" s="12"/>
    </row>
    <row r="545" spans="1:17" s="10" customFormat="1" ht="12.75" customHeight="1">
      <c r="A545" s="11"/>
      <c r="E545" s="39"/>
      <c r="G545" s="39"/>
      <c r="I545" s="39"/>
      <c r="M545" s="12"/>
    </row>
    <row r="546" spans="1:17" s="10" customFormat="1" ht="12.75">
      <c r="A546" s="11"/>
      <c r="B546" s="10" t="s">
        <v>910</v>
      </c>
      <c r="D546" s="88" t="s">
        <v>50</v>
      </c>
      <c r="E546" s="89">
        <f>2.9</f>
        <v>2.9</v>
      </c>
      <c r="F546" s="266" t="s">
        <v>69</v>
      </c>
      <c r="G546" s="89">
        <v>3</v>
      </c>
      <c r="H546" s="266" t="s">
        <v>68</v>
      </c>
      <c r="I546" s="89">
        <f>M1145</f>
        <v>2.88</v>
      </c>
      <c r="J546" s="92" t="s">
        <v>936</v>
      </c>
      <c r="K546" s="92"/>
      <c r="L546" s="93" t="s">
        <v>50</v>
      </c>
      <c r="M546" s="13">
        <f>(E546*G546)-I546</f>
        <v>5.8199999999999994</v>
      </c>
      <c r="P546" s="92"/>
      <c r="Q546" s="92"/>
    </row>
    <row r="547" spans="1:17" s="10" customFormat="1" ht="12.75">
      <c r="A547" s="11"/>
      <c r="B547" s="10" t="s">
        <v>200</v>
      </c>
      <c r="E547" s="39" t="s">
        <v>120</v>
      </c>
      <c r="G547" s="39" t="s">
        <v>264</v>
      </c>
      <c r="I547" s="39" t="s">
        <v>843</v>
      </c>
      <c r="M547" s="12"/>
    </row>
    <row r="548" spans="1:17" s="10" customFormat="1" ht="12.75" customHeight="1">
      <c r="A548" s="11"/>
      <c r="B548" s="87"/>
      <c r="E548" s="39"/>
      <c r="G548" s="39"/>
      <c r="I548" s="39"/>
      <c r="M548" s="12"/>
    </row>
    <row r="549" spans="1:17" s="10" customFormat="1" ht="12.75">
      <c r="A549" s="11"/>
      <c r="B549" s="10" t="s">
        <v>200</v>
      </c>
      <c r="D549" s="88" t="s">
        <v>50</v>
      </c>
      <c r="E549" s="89">
        <f>1.1</f>
        <v>1.1000000000000001</v>
      </c>
      <c r="F549" s="266" t="s">
        <v>69</v>
      </c>
      <c r="G549" s="89">
        <v>3</v>
      </c>
      <c r="H549" s="266"/>
      <c r="I549" s="91"/>
      <c r="J549" s="92"/>
      <c r="K549" s="92"/>
      <c r="L549" s="93" t="s">
        <v>50</v>
      </c>
      <c r="M549" s="13">
        <f>E549*G549</f>
        <v>3.3000000000000003</v>
      </c>
    </row>
    <row r="550" spans="1:17" s="10" customFormat="1" ht="12.75">
      <c r="A550" s="11"/>
      <c r="B550" s="10" t="s">
        <v>911</v>
      </c>
      <c r="E550" s="39" t="s">
        <v>120</v>
      </c>
      <c r="G550" s="39" t="s">
        <v>264</v>
      </c>
      <c r="I550" s="39"/>
      <c r="M550" s="12"/>
    </row>
    <row r="551" spans="1:17" s="10" customFormat="1" ht="12.75" customHeight="1">
      <c r="A551" s="11"/>
      <c r="B551" s="87"/>
      <c r="E551" s="39"/>
      <c r="G551" s="39"/>
      <c r="I551" s="39"/>
      <c r="M551" s="12"/>
    </row>
    <row r="552" spans="1:17" s="161" customFormat="1" ht="12.75">
      <c r="A552" s="163"/>
      <c r="B552" s="161" t="s">
        <v>10</v>
      </c>
      <c r="E552" s="161" t="s">
        <v>149</v>
      </c>
      <c r="I552" s="165" t="s">
        <v>265</v>
      </c>
      <c r="L552" s="162" t="s">
        <v>50</v>
      </c>
      <c r="M552" s="46">
        <f>SUM(M540:M549)</f>
        <v>16.98</v>
      </c>
    </row>
    <row r="553" spans="1:17" s="10" customFormat="1" ht="12.75">
      <c r="A553" s="11"/>
      <c r="M553" s="12"/>
    </row>
    <row r="554" spans="1:17" s="10" customFormat="1" ht="26.25" customHeight="1">
      <c r="A554" s="106" t="str">
        <f>ORÇAMENTO!A70</f>
        <v>5.4</v>
      </c>
      <c r="B554" s="107"/>
      <c r="C554" s="383" t="str">
        <f>ORÇAMENTO!D70</f>
        <v>BANCADA EM GRANITO CINZA ANDORINHA E = 3 CM, APOIADA EM CONSOLE DE METALON 20 X 30 MM</v>
      </c>
      <c r="D554" s="383"/>
      <c r="E554" s="383"/>
      <c r="F554" s="383"/>
      <c r="G554" s="383"/>
      <c r="H554" s="383"/>
      <c r="I554" s="383"/>
      <c r="J554" s="383"/>
      <c r="K554" s="383"/>
      <c r="L554" s="383"/>
      <c r="M554" s="108" t="str">
        <f>ORÇAMENTO!E70</f>
        <v>M2</v>
      </c>
    </row>
    <row r="555" spans="1:17" s="10" customFormat="1" ht="12.75">
      <c r="A555" s="11"/>
      <c r="M555" s="12"/>
    </row>
    <row r="556" spans="1:17" s="10" customFormat="1" ht="12.75">
      <c r="A556" s="11"/>
      <c r="B556" s="87" t="s">
        <v>200</v>
      </c>
      <c r="D556" s="88" t="s">
        <v>50</v>
      </c>
      <c r="E556" s="89">
        <v>1</v>
      </c>
      <c r="F556" s="90" t="s">
        <v>69</v>
      </c>
      <c r="G556" s="89">
        <v>0.5</v>
      </c>
      <c r="H556" s="90"/>
      <c r="I556" s="91"/>
      <c r="J556" s="92"/>
      <c r="K556" s="92"/>
      <c r="L556" s="93" t="s">
        <v>50</v>
      </c>
      <c r="M556" s="13">
        <f>E556*G556</f>
        <v>0.5</v>
      </c>
    </row>
    <row r="557" spans="1:17" s="10" customFormat="1" ht="12.75">
      <c r="A557" s="11"/>
      <c r="B557" s="87" t="s">
        <v>642</v>
      </c>
      <c r="E557" s="39" t="s">
        <v>289</v>
      </c>
      <c r="G557" s="39" t="s">
        <v>267</v>
      </c>
      <c r="I557" s="39"/>
      <c r="M557" s="12"/>
    </row>
    <row r="558" spans="1:17" s="10" customFormat="1" ht="12.75" customHeight="1">
      <c r="A558" s="11"/>
      <c r="B558" s="87"/>
      <c r="E558" s="39"/>
      <c r="G558" s="39"/>
      <c r="I558" s="39"/>
      <c r="M558" s="12"/>
    </row>
    <row r="559" spans="1:17" s="10" customFormat="1" ht="12.75">
      <c r="A559" s="11"/>
      <c r="B559" s="87" t="s">
        <v>200</v>
      </c>
      <c r="D559" s="88" t="s">
        <v>50</v>
      </c>
      <c r="E559" s="89">
        <v>1.9</v>
      </c>
      <c r="F559" s="219" t="s">
        <v>69</v>
      </c>
      <c r="G559" s="89">
        <v>0.8</v>
      </c>
      <c r="H559" s="219"/>
      <c r="I559" s="91"/>
      <c r="J559" s="92"/>
      <c r="K559" s="92"/>
      <c r="L559" s="93" t="s">
        <v>50</v>
      </c>
      <c r="M559" s="13">
        <f>E559*G559</f>
        <v>1.52</v>
      </c>
    </row>
    <row r="560" spans="1:17" s="10" customFormat="1" ht="12.75">
      <c r="A560" s="11"/>
      <c r="B560" s="87" t="s">
        <v>643</v>
      </c>
      <c r="E560" s="39" t="s">
        <v>289</v>
      </c>
      <c r="G560" s="39" t="s">
        <v>267</v>
      </c>
      <c r="I560" s="39"/>
      <c r="M560" s="12"/>
    </row>
    <row r="561" spans="1:13" s="10" customFormat="1" ht="12.75" customHeight="1">
      <c r="A561" s="11"/>
      <c r="B561" s="87"/>
      <c r="E561" s="39"/>
      <c r="G561" s="39"/>
      <c r="I561" s="39"/>
      <c r="M561" s="12"/>
    </row>
    <row r="562" spans="1:13" s="10" customFormat="1" ht="12.75">
      <c r="A562" s="11"/>
      <c r="B562" s="87" t="s">
        <v>200</v>
      </c>
      <c r="D562" s="88" t="s">
        <v>50</v>
      </c>
      <c r="E562" s="89">
        <v>2.2000000000000002</v>
      </c>
      <c r="F562" s="90" t="s">
        <v>69</v>
      </c>
      <c r="G562" s="89">
        <v>0.8</v>
      </c>
      <c r="H562" s="90"/>
      <c r="I562" s="91"/>
      <c r="J562" s="92"/>
      <c r="K562" s="92"/>
      <c r="L562" s="93" t="s">
        <v>50</v>
      </c>
      <c r="M562" s="13">
        <f>E562*G562</f>
        <v>1.7600000000000002</v>
      </c>
    </row>
    <row r="563" spans="1:13" s="10" customFormat="1" ht="12.75">
      <c r="A563" s="11"/>
      <c r="B563" s="87" t="s">
        <v>644</v>
      </c>
      <c r="E563" s="39" t="s">
        <v>289</v>
      </c>
      <c r="G563" s="39" t="s">
        <v>267</v>
      </c>
      <c r="I563" s="39"/>
      <c r="M563" s="12"/>
    </row>
    <row r="564" spans="1:13" s="10" customFormat="1" ht="12.75" customHeight="1">
      <c r="A564" s="11"/>
      <c r="B564" s="87"/>
      <c r="E564" s="39"/>
      <c r="G564" s="39"/>
      <c r="I564" s="39"/>
      <c r="M564" s="12"/>
    </row>
    <row r="565" spans="1:13" s="161" customFormat="1" ht="12.75">
      <c r="A565" s="163"/>
      <c r="B565" s="161" t="s">
        <v>10</v>
      </c>
      <c r="E565" s="161" t="s">
        <v>149</v>
      </c>
      <c r="I565" s="165" t="s">
        <v>265</v>
      </c>
      <c r="L565" s="162" t="s">
        <v>50</v>
      </c>
      <c r="M565" s="46">
        <f>SUM(M556:M562)</f>
        <v>3.7800000000000002</v>
      </c>
    </row>
    <row r="566" spans="1:13" s="10" customFormat="1" ht="12.75">
      <c r="A566" s="11"/>
      <c r="M566" s="12"/>
    </row>
    <row r="567" spans="1:13" s="10" customFormat="1" ht="26.25" customHeight="1">
      <c r="A567" s="106" t="str">
        <f>ORÇAMENTO!A71</f>
        <v>5.5</v>
      </c>
      <c r="B567" s="107"/>
      <c r="C567" s="383" t="str">
        <f>ORÇAMENTO!D71</f>
        <v>VERGA OU CONTRAVERGA EM CONCRETO ESTRUTURAL PARA VÃOS ACIMA DE 150CM, PREPARADO EM OBRA COM BETONEIRA, CONTROLE "A", COM FCK 20 MPA, MOLDADA IN LOCO, INCLUSIVE ARMAÇÃO</v>
      </c>
      <c r="D567" s="383"/>
      <c r="E567" s="383"/>
      <c r="F567" s="383"/>
      <c r="G567" s="383"/>
      <c r="H567" s="383"/>
      <c r="I567" s="383"/>
      <c r="J567" s="383"/>
      <c r="K567" s="383"/>
      <c r="L567" s="383"/>
      <c r="M567" s="108" t="str">
        <f>ORÇAMENTO!E71</f>
        <v>M3</v>
      </c>
    </row>
    <row r="568" spans="1:13" s="10" customFormat="1" ht="12.75">
      <c r="A568" s="11"/>
      <c r="M568" s="12"/>
    </row>
    <row r="569" spans="1:13" s="10" customFormat="1" ht="12.75">
      <c r="A569" s="11"/>
      <c r="B569" s="10" t="s">
        <v>646</v>
      </c>
      <c r="D569" s="88" t="s">
        <v>50</v>
      </c>
      <c r="E569" s="89">
        <f>0.2+1.8+0.2</f>
        <v>2.2000000000000002</v>
      </c>
      <c r="F569" s="90" t="s">
        <v>69</v>
      </c>
      <c r="G569" s="89">
        <v>0.19</v>
      </c>
      <c r="H569" s="90" t="s">
        <v>69</v>
      </c>
      <c r="I569" s="89">
        <v>0.17</v>
      </c>
      <c r="J569" s="90" t="s">
        <v>69</v>
      </c>
      <c r="K569" s="89">
        <v>1</v>
      </c>
      <c r="L569" s="93" t="s">
        <v>50</v>
      </c>
      <c r="M569" s="13">
        <f>E569*G569*I569*K569</f>
        <v>7.1060000000000012E-2</v>
      </c>
    </row>
    <row r="570" spans="1:13" s="10" customFormat="1" ht="12.75">
      <c r="A570" s="11"/>
      <c r="B570" s="10" t="s">
        <v>645</v>
      </c>
      <c r="E570" s="99" t="s">
        <v>56</v>
      </c>
      <c r="G570" s="99" t="s">
        <v>266</v>
      </c>
      <c r="I570" s="99" t="s">
        <v>267</v>
      </c>
      <c r="K570" s="99" t="s">
        <v>291</v>
      </c>
      <c r="M570" s="12"/>
    </row>
    <row r="571" spans="1:13" s="10" customFormat="1" ht="12.75">
      <c r="A571" s="11"/>
      <c r="E571" s="99"/>
      <c r="G571" s="99"/>
      <c r="M571" s="12"/>
    </row>
    <row r="572" spans="1:13" s="10" customFormat="1" ht="12.75">
      <c r="A572" s="11"/>
      <c r="B572" s="10" t="s">
        <v>652</v>
      </c>
      <c r="D572" s="88" t="s">
        <v>50</v>
      </c>
      <c r="E572" s="89">
        <f>0.2+1.9+0.2</f>
        <v>2.3000000000000003</v>
      </c>
      <c r="F572" s="219" t="s">
        <v>69</v>
      </c>
      <c r="G572" s="89">
        <v>0.19</v>
      </c>
      <c r="H572" s="219" t="s">
        <v>69</v>
      </c>
      <c r="I572" s="89">
        <v>0.17</v>
      </c>
      <c r="J572" s="219" t="s">
        <v>69</v>
      </c>
      <c r="K572" s="89">
        <v>4</v>
      </c>
      <c r="L572" s="93" t="s">
        <v>50</v>
      </c>
      <c r="M572" s="13">
        <f>E572*G572*I572*K572</f>
        <v>0.29716000000000004</v>
      </c>
    </row>
    <row r="573" spans="1:13" s="10" customFormat="1" ht="12.75">
      <c r="A573" s="11"/>
      <c r="B573" s="10" t="s">
        <v>645</v>
      </c>
      <c r="E573" s="99" t="s">
        <v>56</v>
      </c>
      <c r="G573" s="99" t="s">
        <v>266</v>
      </c>
      <c r="I573" s="99" t="s">
        <v>267</v>
      </c>
      <c r="K573" s="99" t="s">
        <v>291</v>
      </c>
      <c r="M573" s="12"/>
    </row>
    <row r="574" spans="1:13" s="10" customFormat="1" ht="12.75">
      <c r="A574" s="11"/>
      <c r="E574" s="99"/>
      <c r="G574" s="99"/>
      <c r="M574" s="12"/>
    </row>
    <row r="575" spans="1:13" s="10" customFormat="1" ht="12.75">
      <c r="A575" s="11"/>
      <c r="B575" s="10" t="s">
        <v>648</v>
      </c>
      <c r="D575" s="88" t="s">
        <v>50</v>
      </c>
      <c r="E575" s="89">
        <f>0.2+1.6+0.2</f>
        <v>2</v>
      </c>
      <c r="F575" s="219" t="s">
        <v>69</v>
      </c>
      <c r="G575" s="89">
        <v>0.19</v>
      </c>
      <c r="H575" s="219" t="s">
        <v>69</v>
      </c>
      <c r="I575" s="89">
        <v>0.3</v>
      </c>
      <c r="J575" s="219" t="s">
        <v>69</v>
      </c>
      <c r="K575" s="89">
        <v>1</v>
      </c>
      <c r="L575" s="93" t="s">
        <v>50</v>
      </c>
      <c r="M575" s="13">
        <f>E575*G575*I575*K575</f>
        <v>0.11399999999999999</v>
      </c>
    </row>
    <row r="576" spans="1:13" s="10" customFormat="1" ht="12.75">
      <c r="A576" s="11"/>
      <c r="B576" s="10" t="s">
        <v>645</v>
      </c>
      <c r="E576" s="99" t="s">
        <v>56</v>
      </c>
      <c r="G576" s="99" t="s">
        <v>266</v>
      </c>
      <c r="I576" s="99" t="s">
        <v>267</v>
      </c>
      <c r="K576" s="99" t="s">
        <v>291</v>
      </c>
      <c r="M576" s="12"/>
    </row>
    <row r="577" spans="1:13" s="10" customFormat="1" ht="12.75">
      <c r="A577" s="11"/>
      <c r="E577" s="99"/>
      <c r="G577" s="99"/>
      <c r="M577" s="12"/>
    </row>
    <row r="578" spans="1:13" s="10" customFormat="1" ht="12.75">
      <c r="A578" s="11"/>
      <c r="B578" s="10" t="s">
        <v>653</v>
      </c>
      <c r="D578" s="88" t="s">
        <v>50</v>
      </c>
      <c r="E578" s="89">
        <f>0.2+1.9+0.2</f>
        <v>2.3000000000000003</v>
      </c>
      <c r="F578" s="219" t="s">
        <v>69</v>
      </c>
      <c r="G578" s="89">
        <v>0.19</v>
      </c>
      <c r="H578" s="219" t="s">
        <v>69</v>
      </c>
      <c r="I578" s="89">
        <v>0.17</v>
      </c>
      <c r="J578" s="219" t="s">
        <v>69</v>
      </c>
      <c r="K578" s="89">
        <v>2</v>
      </c>
      <c r="L578" s="93" t="s">
        <v>50</v>
      </c>
      <c r="M578" s="13">
        <f>E578*G578*I578*K578</f>
        <v>0.14858000000000002</v>
      </c>
    </row>
    <row r="579" spans="1:13" s="10" customFormat="1" ht="12.75">
      <c r="A579" s="11"/>
      <c r="B579" s="10" t="s">
        <v>577</v>
      </c>
      <c r="E579" s="99" t="s">
        <v>56</v>
      </c>
      <c r="G579" s="99" t="s">
        <v>266</v>
      </c>
      <c r="I579" s="99" t="s">
        <v>267</v>
      </c>
      <c r="K579" s="99" t="s">
        <v>291</v>
      </c>
      <c r="M579" s="12"/>
    </row>
    <row r="580" spans="1:13" s="10" customFormat="1" ht="12.75">
      <c r="A580" s="11"/>
      <c r="E580" s="99"/>
      <c r="G580" s="99"/>
      <c r="M580" s="12"/>
    </row>
    <row r="581" spans="1:13" s="161" customFormat="1" ht="12.75">
      <c r="A581" s="163"/>
      <c r="B581" s="161" t="s">
        <v>10</v>
      </c>
      <c r="D581" s="165"/>
      <c r="E581" s="164" t="s">
        <v>290</v>
      </c>
      <c r="I581" s="165" t="s">
        <v>265</v>
      </c>
      <c r="L581" s="162" t="s">
        <v>50</v>
      </c>
      <c r="M581" s="46">
        <f>SUM(M569:M578)</f>
        <v>0.63080000000000003</v>
      </c>
    </row>
    <row r="582" spans="1:13" s="10" customFormat="1" ht="12.75">
      <c r="A582" s="11"/>
      <c r="M582" s="12"/>
    </row>
    <row r="583" spans="1:13" s="10" customFormat="1" ht="26.25" customHeight="1">
      <c r="A583" s="106" t="str">
        <f>ORÇAMENTO!A72</f>
        <v>5.6</v>
      </c>
      <c r="B583" s="107"/>
      <c r="C583" s="383" t="str">
        <f>ORÇAMENTO!D72</f>
        <v>VERGA OU CONTRAVERGA EM CONCRETO ESTRUTURAL PARA VÃOS DE ATÉ 150CM, PREPARADO EM OBRA COM BETONEIRA, CONTROLE "A", COM FCK 20 MPA, MOLDADA IN LOCO, INCLUSIVE ARMAÇÃO</v>
      </c>
      <c r="D583" s="383"/>
      <c r="E583" s="383"/>
      <c r="F583" s="383"/>
      <c r="G583" s="383"/>
      <c r="H583" s="383"/>
      <c r="I583" s="383"/>
      <c r="J583" s="383"/>
      <c r="K583" s="383"/>
      <c r="L583" s="383"/>
      <c r="M583" s="108" t="str">
        <f>ORÇAMENTO!E72</f>
        <v>M3</v>
      </c>
    </row>
    <row r="584" spans="1:13" s="10" customFormat="1" ht="12.75">
      <c r="A584" s="11"/>
      <c r="M584" s="12"/>
    </row>
    <row r="585" spans="1:13" s="10" customFormat="1" ht="12.75">
      <c r="A585" s="11"/>
      <c r="B585" s="10" t="s">
        <v>647</v>
      </c>
      <c r="D585" s="88" t="s">
        <v>50</v>
      </c>
      <c r="E585" s="89">
        <f>0.2+1.4+0.2</f>
        <v>1.7999999999999998</v>
      </c>
      <c r="F585" s="219" t="s">
        <v>69</v>
      </c>
      <c r="G585" s="89">
        <v>0.19</v>
      </c>
      <c r="H585" s="219" t="s">
        <v>69</v>
      </c>
      <c r="I585" s="89">
        <v>0.17</v>
      </c>
      <c r="J585" s="219" t="s">
        <v>69</v>
      </c>
      <c r="K585" s="89">
        <v>2</v>
      </c>
      <c r="L585" s="93" t="s">
        <v>50</v>
      </c>
      <c r="M585" s="13">
        <f>E585*G585*I585*K585</f>
        <v>0.11627999999999999</v>
      </c>
    </row>
    <row r="586" spans="1:13" s="10" customFormat="1" ht="12.75">
      <c r="A586" s="11"/>
      <c r="B586" s="10" t="s">
        <v>645</v>
      </c>
      <c r="E586" s="99" t="s">
        <v>56</v>
      </c>
      <c r="G586" s="99" t="s">
        <v>266</v>
      </c>
      <c r="I586" s="99" t="s">
        <v>267</v>
      </c>
      <c r="K586" s="99" t="s">
        <v>291</v>
      </c>
      <c r="M586" s="12"/>
    </row>
    <row r="587" spans="1:13" s="10" customFormat="1" ht="12.75">
      <c r="A587" s="11"/>
      <c r="E587" s="99"/>
      <c r="G587" s="99"/>
      <c r="M587" s="12"/>
    </row>
    <row r="588" spans="1:13" s="10" customFormat="1" ht="12.75">
      <c r="A588" s="11"/>
      <c r="B588" s="10" t="s">
        <v>650</v>
      </c>
      <c r="D588" s="88" t="s">
        <v>50</v>
      </c>
      <c r="E588" s="89">
        <f>0.2+1.4+0.2</f>
        <v>1.7999999999999998</v>
      </c>
      <c r="F588" s="219" t="s">
        <v>69</v>
      </c>
      <c r="G588" s="89">
        <v>0.19</v>
      </c>
      <c r="H588" s="219" t="s">
        <v>69</v>
      </c>
      <c r="I588" s="89">
        <v>0.14000000000000001</v>
      </c>
      <c r="J588" s="219" t="s">
        <v>69</v>
      </c>
      <c r="K588" s="89">
        <v>1</v>
      </c>
      <c r="L588" s="93" t="s">
        <v>50</v>
      </c>
      <c r="M588" s="13">
        <f>E588*G588*I588*K588</f>
        <v>4.7879999999999999E-2</v>
      </c>
    </row>
    <row r="589" spans="1:13" s="10" customFormat="1" ht="12.75">
      <c r="A589" s="11"/>
      <c r="B589" s="10" t="s">
        <v>645</v>
      </c>
      <c r="E589" s="99" t="s">
        <v>56</v>
      </c>
      <c r="G589" s="99" t="s">
        <v>266</v>
      </c>
      <c r="I589" s="99" t="s">
        <v>267</v>
      </c>
      <c r="K589" s="99" t="s">
        <v>291</v>
      </c>
      <c r="M589" s="12"/>
    </row>
    <row r="590" spans="1:13" s="10" customFormat="1" ht="12.75">
      <c r="A590" s="11"/>
      <c r="E590" s="99"/>
      <c r="G590" s="99"/>
      <c r="M590" s="12"/>
    </row>
    <row r="591" spans="1:13" s="10" customFormat="1" ht="12.75">
      <c r="A591" s="11"/>
      <c r="B591" s="10" t="s">
        <v>651</v>
      </c>
      <c r="D591" s="88" t="s">
        <v>50</v>
      </c>
      <c r="E591" s="89">
        <f>0.2+1.4+0.2</f>
        <v>1.7999999999999998</v>
      </c>
      <c r="F591" s="219" t="s">
        <v>69</v>
      </c>
      <c r="G591" s="89">
        <v>0.19</v>
      </c>
      <c r="H591" s="219" t="s">
        <v>69</v>
      </c>
      <c r="I591" s="89">
        <v>0.14000000000000001</v>
      </c>
      <c r="J591" s="219" t="s">
        <v>69</v>
      </c>
      <c r="K591" s="89">
        <v>1</v>
      </c>
      <c r="L591" s="93" t="s">
        <v>50</v>
      </c>
      <c r="M591" s="13">
        <f>E591*G591*I591*K591</f>
        <v>4.7879999999999999E-2</v>
      </c>
    </row>
    <row r="592" spans="1:13" s="10" customFormat="1" ht="12.75">
      <c r="A592" s="11"/>
      <c r="B592" s="10" t="s">
        <v>645</v>
      </c>
      <c r="E592" s="99" t="s">
        <v>56</v>
      </c>
      <c r="G592" s="99" t="s">
        <v>266</v>
      </c>
      <c r="I592" s="99" t="s">
        <v>267</v>
      </c>
      <c r="K592" s="99" t="s">
        <v>291</v>
      </c>
      <c r="M592" s="12"/>
    </row>
    <row r="593" spans="1:13" s="10" customFormat="1" ht="12.75">
      <c r="A593" s="11"/>
      <c r="E593" s="99"/>
      <c r="G593" s="99"/>
      <c r="M593" s="12"/>
    </row>
    <row r="594" spans="1:13" s="10" customFormat="1" ht="12.75">
      <c r="A594" s="11"/>
      <c r="B594" s="10" t="s">
        <v>649</v>
      </c>
      <c r="D594" s="88" t="s">
        <v>50</v>
      </c>
      <c r="E594" s="89">
        <f>0.2+1.4+0.2</f>
        <v>1.7999999999999998</v>
      </c>
      <c r="F594" s="219" t="s">
        <v>69</v>
      </c>
      <c r="G594" s="89">
        <v>0.19</v>
      </c>
      <c r="H594" s="219" t="s">
        <v>69</v>
      </c>
      <c r="I594" s="89">
        <v>0.3</v>
      </c>
      <c r="J594" s="219" t="s">
        <v>69</v>
      </c>
      <c r="K594" s="89">
        <v>1</v>
      </c>
      <c r="L594" s="93" t="s">
        <v>50</v>
      </c>
      <c r="M594" s="13">
        <f>E594*G594*I594*K594</f>
        <v>0.10259999999999998</v>
      </c>
    </row>
    <row r="595" spans="1:13" s="10" customFormat="1" ht="12.75">
      <c r="A595" s="11"/>
      <c r="B595" s="10" t="s">
        <v>645</v>
      </c>
      <c r="E595" s="99" t="s">
        <v>56</v>
      </c>
      <c r="G595" s="99" t="s">
        <v>266</v>
      </c>
      <c r="I595" s="99" t="s">
        <v>267</v>
      </c>
      <c r="K595" s="99" t="s">
        <v>291</v>
      </c>
      <c r="M595" s="12"/>
    </row>
    <row r="596" spans="1:13" s="10" customFormat="1" ht="12.75">
      <c r="A596" s="11"/>
      <c r="E596" s="99"/>
      <c r="G596" s="99"/>
      <c r="M596" s="12"/>
    </row>
    <row r="597" spans="1:13" s="10" customFormat="1" ht="12.75">
      <c r="A597" s="11"/>
      <c r="B597" s="10" t="s">
        <v>654</v>
      </c>
      <c r="D597" s="88" t="s">
        <v>50</v>
      </c>
      <c r="E597" s="89">
        <f>0.2+1.4+0.2</f>
        <v>1.7999999999999998</v>
      </c>
      <c r="F597" s="219" t="s">
        <v>69</v>
      </c>
      <c r="G597" s="89">
        <v>0.19</v>
      </c>
      <c r="H597" s="219" t="s">
        <v>69</v>
      </c>
      <c r="I597" s="89">
        <v>0.17</v>
      </c>
      <c r="J597" s="219" t="s">
        <v>69</v>
      </c>
      <c r="K597" s="89">
        <v>2</v>
      </c>
      <c r="L597" s="93" t="s">
        <v>50</v>
      </c>
      <c r="M597" s="13">
        <f>E597*G597*I597*K597</f>
        <v>0.11627999999999999</v>
      </c>
    </row>
    <row r="598" spans="1:13" s="10" customFormat="1" ht="12.75">
      <c r="A598" s="11"/>
      <c r="B598" s="10" t="s">
        <v>577</v>
      </c>
      <c r="E598" s="99" t="s">
        <v>56</v>
      </c>
      <c r="G598" s="99" t="s">
        <v>266</v>
      </c>
      <c r="I598" s="99" t="s">
        <v>267</v>
      </c>
      <c r="K598" s="99" t="s">
        <v>291</v>
      </c>
      <c r="M598" s="12"/>
    </row>
    <row r="599" spans="1:13" s="10" customFormat="1" ht="12.75">
      <c r="A599" s="11"/>
      <c r="E599" s="99"/>
      <c r="G599" s="99"/>
      <c r="M599" s="12"/>
    </row>
    <row r="600" spans="1:13" s="10" customFormat="1" ht="12.75">
      <c r="A600" s="11"/>
      <c r="B600" s="10" t="s">
        <v>655</v>
      </c>
      <c r="D600" s="88" t="s">
        <v>50</v>
      </c>
      <c r="E600" s="89">
        <f>0.2+0.7+0.2</f>
        <v>1.0999999999999999</v>
      </c>
      <c r="F600" s="219" t="s">
        <v>69</v>
      </c>
      <c r="G600" s="89">
        <v>0.19</v>
      </c>
      <c r="H600" s="219" t="s">
        <v>69</v>
      </c>
      <c r="I600" s="89">
        <v>0.17</v>
      </c>
      <c r="J600" s="219" t="s">
        <v>69</v>
      </c>
      <c r="K600" s="89">
        <v>2</v>
      </c>
      <c r="L600" s="93" t="s">
        <v>50</v>
      </c>
      <c r="M600" s="13">
        <f>E600*G600*I600*K600</f>
        <v>7.1059999999999998E-2</v>
      </c>
    </row>
    <row r="601" spans="1:13" s="10" customFormat="1" ht="12.75">
      <c r="A601" s="11"/>
      <c r="B601" s="10" t="s">
        <v>645</v>
      </c>
      <c r="E601" s="99" t="s">
        <v>56</v>
      </c>
      <c r="G601" s="99" t="s">
        <v>266</v>
      </c>
      <c r="I601" s="99" t="s">
        <v>267</v>
      </c>
      <c r="K601" s="99" t="s">
        <v>291</v>
      </c>
      <c r="M601" s="12"/>
    </row>
    <row r="602" spans="1:13" s="10" customFormat="1" ht="12.75">
      <c r="A602" s="11"/>
      <c r="M602" s="12"/>
    </row>
    <row r="603" spans="1:13" s="10" customFormat="1" ht="12.75">
      <c r="A603" s="11"/>
      <c r="B603" s="10" t="s">
        <v>656</v>
      </c>
      <c r="D603" s="88" t="s">
        <v>50</v>
      </c>
      <c r="E603" s="89">
        <f>0.2+0.8+0.2</f>
        <v>1.2</v>
      </c>
      <c r="F603" s="219" t="s">
        <v>69</v>
      </c>
      <c r="G603" s="89">
        <v>0.19</v>
      </c>
      <c r="H603" s="219" t="s">
        <v>69</v>
      </c>
      <c r="I603" s="89">
        <v>0.3</v>
      </c>
      <c r="J603" s="219" t="s">
        <v>69</v>
      </c>
      <c r="K603" s="89">
        <v>1</v>
      </c>
      <c r="L603" s="93" t="s">
        <v>50</v>
      </c>
      <c r="M603" s="13">
        <f>E603*G603*I603*K603</f>
        <v>6.8399999999999989E-2</v>
      </c>
    </row>
    <row r="604" spans="1:13" s="10" customFormat="1" ht="12.75">
      <c r="A604" s="11"/>
      <c r="B604" s="10" t="s">
        <v>645</v>
      </c>
      <c r="E604" s="99" t="s">
        <v>56</v>
      </c>
      <c r="G604" s="99" t="s">
        <v>266</v>
      </c>
      <c r="I604" s="99" t="s">
        <v>267</v>
      </c>
      <c r="K604" s="99" t="s">
        <v>291</v>
      </c>
      <c r="M604" s="12"/>
    </row>
    <row r="605" spans="1:13" s="10" customFormat="1" ht="12.75">
      <c r="A605" s="11"/>
      <c r="M605" s="12"/>
    </row>
    <row r="606" spans="1:13" s="10" customFormat="1" ht="12.75">
      <c r="A606" s="11"/>
      <c r="B606" s="10" t="s">
        <v>849</v>
      </c>
      <c r="D606" s="88" t="s">
        <v>50</v>
      </c>
      <c r="E606" s="89">
        <f>0.2+0.8+0.2</f>
        <v>1.2</v>
      </c>
      <c r="F606" s="90" t="s">
        <v>69</v>
      </c>
      <c r="G606" s="89">
        <v>0.19</v>
      </c>
      <c r="H606" s="90" t="s">
        <v>69</v>
      </c>
      <c r="I606" s="89">
        <v>0.17</v>
      </c>
      <c r="J606" s="90" t="s">
        <v>69</v>
      </c>
      <c r="K606" s="89">
        <v>2</v>
      </c>
      <c r="L606" s="93" t="s">
        <v>50</v>
      </c>
      <c r="M606" s="13">
        <f>E606*G606*I606*K606</f>
        <v>7.7520000000000006E-2</v>
      </c>
    </row>
    <row r="607" spans="1:13" s="10" customFormat="1" ht="12.75">
      <c r="A607" s="11"/>
      <c r="B607" s="10" t="s">
        <v>577</v>
      </c>
      <c r="E607" s="99" t="s">
        <v>56</v>
      </c>
      <c r="G607" s="99" t="s">
        <v>266</v>
      </c>
      <c r="I607" s="99" t="s">
        <v>267</v>
      </c>
      <c r="K607" s="99" t="s">
        <v>291</v>
      </c>
      <c r="M607" s="12"/>
    </row>
    <row r="608" spans="1:13" s="10" customFormat="1" ht="12.75">
      <c r="A608" s="11"/>
      <c r="M608" s="12"/>
    </row>
    <row r="609" spans="1:13" s="161" customFormat="1" ht="12.75">
      <c r="A609" s="163"/>
      <c r="B609" s="161" t="s">
        <v>10</v>
      </c>
      <c r="E609" s="164" t="s">
        <v>290</v>
      </c>
      <c r="I609" s="165" t="s">
        <v>265</v>
      </c>
      <c r="L609" s="162" t="s">
        <v>50</v>
      </c>
      <c r="M609" s="46">
        <f>SUM(M585:M606)</f>
        <v>0.64790000000000003</v>
      </c>
    </row>
    <row r="610" spans="1:13" s="10" customFormat="1" ht="12.75">
      <c r="A610" s="11"/>
      <c r="M610" s="12"/>
    </row>
    <row r="611" spans="1:13" s="10" customFormat="1" ht="15">
      <c r="A611" s="16" t="str">
        <f>ORÇAMENTO!A74</f>
        <v>6.</v>
      </c>
      <c r="B611" s="85"/>
      <c r="C611" s="386" t="str">
        <f>ORÇAMENTO!B74</f>
        <v xml:space="preserve">ESQUADRIAS </v>
      </c>
      <c r="D611" s="386"/>
      <c r="E611" s="386"/>
      <c r="F611" s="386"/>
      <c r="G611" s="386"/>
      <c r="H611" s="386"/>
      <c r="I611" s="386"/>
      <c r="J611" s="386"/>
      <c r="K611" s="386"/>
      <c r="L611" s="386"/>
      <c r="M611" s="387"/>
    </row>
    <row r="612" spans="1:13" s="10" customFormat="1" ht="15">
      <c r="A612" s="41"/>
      <c r="C612" s="98"/>
      <c r="D612" s="98"/>
      <c r="E612" s="98"/>
      <c r="F612" s="98"/>
      <c r="G612" s="98"/>
      <c r="H612" s="98"/>
      <c r="I612" s="98"/>
      <c r="J612" s="98"/>
      <c r="K612" s="98"/>
      <c r="L612" s="98"/>
      <c r="M612" s="42"/>
    </row>
    <row r="613" spans="1:13" s="10" customFormat="1" ht="26.25" customHeight="1">
      <c r="A613" s="106" t="str">
        <f>ORÇAMENTO!A75</f>
        <v>6.1</v>
      </c>
      <c r="B613" s="107"/>
      <c r="C613" s="383" t="str">
        <f>ORÇAMENTO!D75</f>
        <v>JANELA EM ALUMÍNIO DE CORRER COM 2 FOLHAS, LINHA 25/SUPREMA, ACABAMENTO ANODIZADO NATURAL, INCLUSIVE PERFIS, VIDRO 4MM E INSTALAÇÃO, EXCLUSIVE FERRAGENS PARA JANELA DE ALUMÍNIO DE CORRER</v>
      </c>
      <c r="D613" s="383"/>
      <c r="E613" s="383"/>
      <c r="F613" s="383"/>
      <c r="G613" s="383"/>
      <c r="H613" s="383"/>
      <c r="I613" s="383"/>
      <c r="J613" s="383"/>
      <c r="K613" s="383"/>
      <c r="L613" s="383"/>
      <c r="M613" s="108" t="str">
        <f>ORÇAMENTO!E75</f>
        <v>M2</v>
      </c>
    </row>
    <row r="614" spans="1:13" s="10" customFormat="1" ht="12.75">
      <c r="A614" s="11"/>
      <c r="M614" s="12"/>
    </row>
    <row r="615" spans="1:13" s="10" customFormat="1" ht="12.75">
      <c r="A615" s="11"/>
      <c r="B615" s="10" t="s">
        <v>657</v>
      </c>
      <c r="D615" s="88" t="s">
        <v>50</v>
      </c>
      <c r="E615" s="89">
        <v>1.4</v>
      </c>
      <c r="F615" s="90" t="s">
        <v>69</v>
      </c>
      <c r="G615" s="89">
        <v>1</v>
      </c>
      <c r="H615" s="90" t="s">
        <v>69</v>
      </c>
      <c r="I615" s="89">
        <v>2</v>
      </c>
      <c r="L615" s="93" t="s">
        <v>50</v>
      </c>
      <c r="M615" s="13">
        <f>E615*G615*I615</f>
        <v>2.8</v>
      </c>
    </row>
    <row r="616" spans="1:13" s="10" customFormat="1" ht="12.75">
      <c r="A616" s="11"/>
      <c r="B616" s="10" t="s">
        <v>645</v>
      </c>
      <c r="E616" s="99" t="s">
        <v>56</v>
      </c>
      <c r="G616" s="99" t="s">
        <v>266</v>
      </c>
      <c r="I616" s="99" t="s">
        <v>291</v>
      </c>
      <c r="M616" s="12"/>
    </row>
    <row r="617" spans="1:13" s="10" customFormat="1" ht="12.75">
      <c r="A617" s="11"/>
      <c r="E617" s="99"/>
      <c r="M617" s="12"/>
    </row>
    <row r="618" spans="1:13" s="10" customFormat="1" ht="12.75">
      <c r="A618" s="11"/>
      <c r="B618" s="10" t="s">
        <v>657</v>
      </c>
      <c r="D618" s="88" t="s">
        <v>50</v>
      </c>
      <c r="E618" s="89">
        <v>1.4</v>
      </c>
      <c r="F618" s="219" t="s">
        <v>69</v>
      </c>
      <c r="G618" s="89">
        <v>1</v>
      </c>
      <c r="H618" s="219" t="s">
        <v>69</v>
      </c>
      <c r="I618" s="89">
        <v>1</v>
      </c>
      <c r="L618" s="93" t="s">
        <v>50</v>
      </c>
      <c r="M618" s="13">
        <f>E618*G618*I618</f>
        <v>1.4</v>
      </c>
    </row>
    <row r="619" spans="1:13" s="10" customFormat="1" ht="12.75">
      <c r="A619" s="11"/>
      <c r="B619" s="10" t="s">
        <v>599</v>
      </c>
      <c r="E619" s="99" t="s">
        <v>56</v>
      </c>
      <c r="G619" s="99" t="s">
        <v>266</v>
      </c>
      <c r="I619" s="99" t="s">
        <v>291</v>
      </c>
      <c r="M619" s="12"/>
    </row>
    <row r="620" spans="1:13" s="10" customFormat="1" ht="12.75">
      <c r="A620" s="11"/>
      <c r="E620" s="99"/>
      <c r="M620" s="12"/>
    </row>
    <row r="621" spans="1:13" s="10" customFormat="1" ht="12.75">
      <c r="A621" s="11"/>
      <c r="B621" s="10" t="s">
        <v>658</v>
      </c>
      <c r="D621" s="88" t="s">
        <v>50</v>
      </c>
      <c r="E621" s="89">
        <v>1.3</v>
      </c>
      <c r="F621" s="219" t="s">
        <v>69</v>
      </c>
      <c r="G621" s="89">
        <v>1</v>
      </c>
      <c r="H621" s="219" t="s">
        <v>69</v>
      </c>
      <c r="I621" s="89">
        <v>1</v>
      </c>
      <c r="L621" s="93" t="s">
        <v>50</v>
      </c>
      <c r="M621" s="13">
        <f>E621*G621*I621</f>
        <v>1.3</v>
      </c>
    </row>
    <row r="622" spans="1:13" s="10" customFormat="1" ht="12.75">
      <c r="A622" s="11"/>
      <c r="B622" s="10" t="s">
        <v>661</v>
      </c>
      <c r="E622" s="99" t="s">
        <v>56</v>
      </c>
      <c r="G622" s="99" t="s">
        <v>266</v>
      </c>
      <c r="I622" s="99" t="s">
        <v>291</v>
      </c>
      <c r="M622" s="12"/>
    </row>
    <row r="623" spans="1:13" s="10" customFormat="1" ht="12.75">
      <c r="A623" s="11"/>
      <c r="E623" s="99"/>
      <c r="M623" s="12"/>
    </row>
    <row r="624" spans="1:13" s="10" customFormat="1" ht="12.75">
      <c r="A624" s="11"/>
      <c r="B624" s="10" t="s">
        <v>659</v>
      </c>
      <c r="D624" s="88" t="s">
        <v>50</v>
      </c>
      <c r="E624" s="89">
        <v>1.9</v>
      </c>
      <c r="F624" s="219" t="s">
        <v>69</v>
      </c>
      <c r="G624" s="89">
        <v>1</v>
      </c>
      <c r="H624" s="219" t="s">
        <v>69</v>
      </c>
      <c r="I624" s="89">
        <v>4</v>
      </c>
      <c r="L624" s="93" t="s">
        <v>50</v>
      </c>
      <c r="M624" s="13">
        <f>E624*G624*I624</f>
        <v>7.6</v>
      </c>
    </row>
    <row r="625" spans="1:13" s="10" customFormat="1" ht="12.75">
      <c r="A625" s="11"/>
      <c r="B625" s="10" t="s">
        <v>589</v>
      </c>
      <c r="E625" s="99" t="s">
        <v>56</v>
      </c>
      <c r="G625" s="99" t="s">
        <v>266</v>
      </c>
      <c r="I625" s="99" t="s">
        <v>291</v>
      </c>
      <c r="M625" s="12"/>
    </row>
    <row r="626" spans="1:13" s="10" customFormat="1" ht="12.75">
      <c r="A626" s="11"/>
      <c r="E626" s="99"/>
      <c r="M626" s="12"/>
    </row>
    <row r="627" spans="1:13" s="10" customFormat="1" ht="12.75">
      <c r="A627" s="11"/>
      <c r="B627" s="10" t="s">
        <v>660</v>
      </c>
      <c r="D627" s="88" t="s">
        <v>50</v>
      </c>
      <c r="E627" s="89">
        <v>1.65</v>
      </c>
      <c r="F627" s="219" t="s">
        <v>69</v>
      </c>
      <c r="G627" s="89">
        <v>1</v>
      </c>
      <c r="H627" s="219" t="s">
        <v>69</v>
      </c>
      <c r="I627" s="89">
        <v>1</v>
      </c>
      <c r="L627" s="93" t="s">
        <v>50</v>
      </c>
      <c r="M627" s="13">
        <f>E627*G627*I627</f>
        <v>1.65</v>
      </c>
    </row>
    <row r="628" spans="1:13" s="10" customFormat="1" ht="12.75">
      <c r="A628" s="11"/>
      <c r="B628" s="10" t="s">
        <v>640</v>
      </c>
      <c r="E628" s="99" t="s">
        <v>56</v>
      </c>
      <c r="G628" s="99" t="s">
        <v>266</v>
      </c>
      <c r="I628" s="99" t="s">
        <v>291</v>
      </c>
      <c r="M628" s="12"/>
    </row>
    <row r="629" spans="1:13" s="10" customFormat="1" ht="12.75">
      <c r="A629" s="11"/>
      <c r="E629" s="99"/>
      <c r="M629" s="12"/>
    </row>
    <row r="630" spans="1:13" s="10" customFormat="1" ht="12.75">
      <c r="A630" s="11"/>
      <c r="B630" s="10" t="s">
        <v>657</v>
      </c>
      <c r="D630" s="88" t="s">
        <v>50</v>
      </c>
      <c r="E630" s="89">
        <v>1.4</v>
      </c>
      <c r="F630" s="219" t="s">
        <v>69</v>
      </c>
      <c r="G630" s="89">
        <v>1</v>
      </c>
      <c r="H630" s="219" t="s">
        <v>69</v>
      </c>
      <c r="I630" s="89">
        <v>1</v>
      </c>
      <c r="L630" s="93" t="s">
        <v>50</v>
      </c>
      <c r="M630" s="13">
        <f>E630*G630*I630</f>
        <v>1.4</v>
      </c>
    </row>
    <row r="631" spans="1:13" s="10" customFormat="1" ht="12.75">
      <c r="A631" s="11"/>
      <c r="B631" s="10" t="s">
        <v>577</v>
      </c>
      <c r="E631" s="99" t="s">
        <v>56</v>
      </c>
      <c r="G631" s="99" t="s">
        <v>266</v>
      </c>
      <c r="I631" s="99" t="s">
        <v>291</v>
      </c>
      <c r="M631" s="12"/>
    </row>
    <row r="632" spans="1:13" s="10" customFormat="1" ht="12.75">
      <c r="A632" s="11"/>
      <c r="E632" s="99"/>
      <c r="M632" s="12"/>
    </row>
    <row r="633" spans="1:13" s="10" customFormat="1" ht="12.75">
      <c r="A633" s="11"/>
      <c r="B633" s="10" t="s">
        <v>659</v>
      </c>
      <c r="D633" s="88" t="s">
        <v>50</v>
      </c>
      <c r="E633" s="89">
        <v>1.9</v>
      </c>
      <c r="F633" s="219" t="s">
        <v>69</v>
      </c>
      <c r="G633" s="89">
        <v>1</v>
      </c>
      <c r="H633" s="219" t="s">
        <v>69</v>
      </c>
      <c r="I633" s="89">
        <v>2</v>
      </c>
      <c r="L633" s="93" t="s">
        <v>50</v>
      </c>
      <c r="M633" s="13">
        <f>E633*G633*I633</f>
        <v>3.8</v>
      </c>
    </row>
    <row r="634" spans="1:13" s="10" customFormat="1" ht="12.75">
      <c r="A634" s="11"/>
      <c r="B634" s="10" t="s">
        <v>577</v>
      </c>
      <c r="E634" s="99" t="s">
        <v>56</v>
      </c>
      <c r="G634" s="99" t="s">
        <v>266</v>
      </c>
      <c r="I634" s="99" t="s">
        <v>291</v>
      </c>
      <c r="M634" s="12"/>
    </row>
    <row r="635" spans="1:13" s="10" customFormat="1" ht="12.75">
      <c r="A635" s="11"/>
      <c r="E635" s="99"/>
      <c r="M635" s="12"/>
    </row>
    <row r="636" spans="1:13" s="161" customFormat="1" ht="12.75">
      <c r="A636" s="163"/>
      <c r="B636" s="161" t="s">
        <v>10</v>
      </c>
      <c r="H636" s="164"/>
      <c r="I636" s="165" t="s">
        <v>265</v>
      </c>
      <c r="L636" s="162" t="s">
        <v>50</v>
      </c>
      <c r="M636" s="46">
        <f>SUM(M615:M633)</f>
        <v>19.95</v>
      </c>
    </row>
    <row r="637" spans="1:13" s="10" customFormat="1" ht="12.75">
      <c r="A637" s="11"/>
      <c r="M637" s="12"/>
    </row>
    <row r="638" spans="1:13" s="10" customFormat="1" ht="26.25" customHeight="1">
      <c r="A638" s="106" t="str">
        <f>ORÇAMENTO!A76</f>
        <v>6.2</v>
      </c>
      <c r="B638" s="107"/>
      <c r="C638" s="383" t="str">
        <f>ORÇAMENTO!D76</f>
        <v>FERRAGENS PARA JANELA DE ALUMÍNIO PARA CONJUNTO DE DUAS (2) FOLHAS DE CORRER, INCLUSIVE ROLDANAS E ACESSÓRIOS, FORNECIMENTO E INSTALAÇÃO, EXCLUSIVE JANELA</v>
      </c>
      <c r="D638" s="383"/>
      <c r="E638" s="383"/>
      <c r="F638" s="383"/>
      <c r="G638" s="383"/>
      <c r="H638" s="383"/>
      <c r="I638" s="383"/>
      <c r="J638" s="383"/>
      <c r="K638" s="383"/>
      <c r="L638" s="383"/>
      <c r="M638" s="108" t="str">
        <f>ORÇAMENTO!E76</f>
        <v>UN</v>
      </c>
    </row>
    <row r="639" spans="1:13" s="10" customFormat="1" ht="12.75">
      <c r="A639" s="11"/>
      <c r="M639" s="12"/>
    </row>
    <row r="640" spans="1:13" s="10" customFormat="1" ht="12.75">
      <c r="A640" s="11"/>
      <c r="B640" s="10" t="s">
        <v>657</v>
      </c>
      <c r="D640" s="88" t="s">
        <v>50</v>
      </c>
      <c r="E640" s="89">
        <v>2</v>
      </c>
      <c r="F640" s="219"/>
      <c r="G640" s="230"/>
      <c r="H640" s="231"/>
      <c r="I640" s="230"/>
      <c r="L640" s="93" t="s">
        <v>50</v>
      </c>
      <c r="M640" s="13">
        <f>E640</f>
        <v>2</v>
      </c>
    </row>
    <row r="641" spans="1:13" s="10" customFormat="1" ht="12.75">
      <c r="A641" s="11"/>
      <c r="B641" s="10" t="s">
        <v>645</v>
      </c>
      <c r="E641" s="99" t="s">
        <v>291</v>
      </c>
      <c r="G641" s="232"/>
      <c r="H641" s="233"/>
      <c r="I641" s="232"/>
      <c r="M641" s="12"/>
    </row>
    <row r="642" spans="1:13" s="10" customFormat="1" ht="12.75">
      <c r="A642" s="11"/>
      <c r="G642" s="233"/>
      <c r="H642" s="233"/>
      <c r="I642" s="233"/>
      <c r="M642" s="12"/>
    </row>
    <row r="643" spans="1:13" s="10" customFormat="1" ht="12.75">
      <c r="A643" s="11"/>
      <c r="B643" s="10" t="s">
        <v>657</v>
      </c>
      <c r="D643" s="88" t="s">
        <v>50</v>
      </c>
      <c r="E643" s="89">
        <v>1</v>
      </c>
      <c r="F643" s="219"/>
      <c r="G643" s="230"/>
      <c r="H643" s="231"/>
      <c r="I643" s="230"/>
      <c r="L643" s="93" t="s">
        <v>50</v>
      </c>
      <c r="M643" s="13">
        <f>E643</f>
        <v>1</v>
      </c>
    </row>
    <row r="644" spans="1:13" s="10" customFormat="1" ht="12.75">
      <c r="A644" s="11"/>
      <c r="B644" s="10" t="s">
        <v>599</v>
      </c>
      <c r="E644" s="99" t="s">
        <v>291</v>
      </c>
      <c r="G644" s="232"/>
      <c r="H644" s="233"/>
      <c r="I644" s="232"/>
      <c r="M644" s="12"/>
    </row>
    <row r="645" spans="1:13" s="10" customFormat="1" ht="12.75">
      <c r="A645" s="11"/>
      <c r="G645" s="233"/>
      <c r="H645" s="233"/>
      <c r="I645" s="233"/>
      <c r="M645" s="12"/>
    </row>
    <row r="646" spans="1:13" s="10" customFormat="1" ht="12.75">
      <c r="A646" s="11"/>
      <c r="B646" s="10" t="s">
        <v>658</v>
      </c>
      <c r="D646" s="88" t="s">
        <v>50</v>
      </c>
      <c r="E646" s="89">
        <v>1</v>
      </c>
      <c r="F646" s="219"/>
      <c r="G646" s="230"/>
      <c r="H646" s="231"/>
      <c r="I646" s="230"/>
      <c r="L646" s="93" t="s">
        <v>50</v>
      </c>
      <c r="M646" s="13">
        <f>E646</f>
        <v>1</v>
      </c>
    </row>
    <row r="647" spans="1:13" s="10" customFormat="1" ht="12.75">
      <c r="A647" s="11"/>
      <c r="B647" s="10" t="s">
        <v>661</v>
      </c>
      <c r="E647" s="99" t="s">
        <v>291</v>
      </c>
      <c r="G647" s="232"/>
      <c r="H647" s="233"/>
      <c r="I647" s="232"/>
      <c r="M647" s="12"/>
    </row>
    <row r="648" spans="1:13" s="10" customFormat="1" ht="12.75">
      <c r="A648" s="11"/>
      <c r="G648" s="233"/>
      <c r="H648" s="233"/>
      <c r="I648" s="233"/>
      <c r="M648" s="12"/>
    </row>
    <row r="649" spans="1:13" s="10" customFormat="1" ht="12.75">
      <c r="A649" s="11"/>
      <c r="B649" s="10" t="s">
        <v>659</v>
      </c>
      <c r="D649" s="88" t="s">
        <v>50</v>
      </c>
      <c r="E649" s="89">
        <v>4</v>
      </c>
      <c r="F649" s="219"/>
      <c r="G649" s="230"/>
      <c r="H649" s="231"/>
      <c r="I649" s="230"/>
      <c r="L649" s="93" t="s">
        <v>50</v>
      </c>
      <c r="M649" s="13">
        <f>E649</f>
        <v>4</v>
      </c>
    </row>
    <row r="650" spans="1:13" s="10" customFormat="1" ht="12.75">
      <c r="A650" s="11"/>
      <c r="B650" s="10" t="s">
        <v>589</v>
      </c>
      <c r="E650" s="99" t="s">
        <v>291</v>
      </c>
      <c r="G650" s="232"/>
      <c r="H650" s="233"/>
      <c r="I650" s="232"/>
      <c r="M650" s="12"/>
    </row>
    <row r="651" spans="1:13" s="10" customFormat="1" ht="12.75">
      <c r="A651" s="11"/>
      <c r="G651" s="233"/>
      <c r="H651" s="233"/>
      <c r="I651" s="233"/>
      <c r="M651" s="12"/>
    </row>
    <row r="652" spans="1:13" s="10" customFormat="1" ht="12.75">
      <c r="A652" s="11"/>
      <c r="B652" s="10" t="s">
        <v>660</v>
      </c>
      <c r="D652" s="88" t="s">
        <v>50</v>
      </c>
      <c r="E652" s="89">
        <v>1</v>
      </c>
      <c r="F652" s="219"/>
      <c r="G652" s="230"/>
      <c r="H652" s="231"/>
      <c r="I652" s="230"/>
      <c r="L652" s="93" t="s">
        <v>50</v>
      </c>
      <c r="M652" s="13">
        <f>E652</f>
        <v>1</v>
      </c>
    </row>
    <row r="653" spans="1:13" s="10" customFormat="1" ht="12.75">
      <c r="A653" s="11"/>
      <c r="B653" s="10" t="s">
        <v>640</v>
      </c>
      <c r="E653" s="99" t="s">
        <v>291</v>
      </c>
      <c r="G653" s="232"/>
      <c r="H653" s="233"/>
      <c r="I653" s="232"/>
      <c r="M653" s="12"/>
    </row>
    <row r="654" spans="1:13" s="10" customFormat="1" ht="12.75">
      <c r="A654" s="11"/>
      <c r="G654" s="233"/>
      <c r="H654" s="233"/>
      <c r="I654" s="233"/>
      <c r="M654" s="12"/>
    </row>
    <row r="655" spans="1:13" s="10" customFormat="1" ht="12.75">
      <c r="A655" s="11"/>
      <c r="B655" s="10" t="s">
        <v>657</v>
      </c>
      <c r="D655" s="88" t="s">
        <v>50</v>
      </c>
      <c r="E655" s="89">
        <v>1</v>
      </c>
      <c r="F655" s="219"/>
      <c r="G655" s="230"/>
      <c r="H655" s="231"/>
      <c r="I655" s="230"/>
      <c r="L655" s="93" t="s">
        <v>50</v>
      </c>
      <c r="M655" s="13">
        <f>E655</f>
        <v>1</v>
      </c>
    </row>
    <row r="656" spans="1:13" s="10" customFormat="1" ht="12.75">
      <c r="A656" s="11"/>
      <c r="B656" s="10" t="s">
        <v>577</v>
      </c>
      <c r="E656" s="99" t="s">
        <v>291</v>
      </c>
      <c r="G656" s="232"/>
      <c r="H656" s="233"/>
      <c r="I656" s="232"/>
      <c r="M656" s="12"/>
    </row>
    <row r="657" spans="1:13" s="10" customFormat="1" ht="12.75">
      <c r="A657" s="11"/>
      <c r="G657" s="233"/>
      <c r="H657" s="233"/>
      <c r="I657" s="233"/>
      <c r="M657" s="12"/>
    </row>
    <row r="658" spans="1:13" s="10" customFormat="1" ht="12.75">
      <c r="A658" s="11"/>
      <c r="B658" s="10" t="s">
        <v>659</v>
      </c>
      <c r="D658" s="88" t="s">
        <v>50</v>
      </c>
      <c r="E658" s="89">
        <v>2</v>
      </c>
      <c r="F658" s="219"/>
      <c r="G658" s="230"/>
      <c r="H658" s="231"/>
      <c r="I658" s="230"/>
      <c r="L658" s="93" t="s">
        <v>50</v>
      </c>
      <c r="M658" s="13">
        <f>E658</f>
        <v>2</v>
      </c>
    </row>
    <row r="659" spans="1:13" s="10" customFormat="1" ht="12.75">
      <c r="A659" s="11"/>
      <c r="B659" s="10" t="s">
        <v>577</v>
      </c>
      <c r="E659" s="99" t="s">
        <v>291</v>
      </c>
      <c r="G659" s="232"/>
      <c r="H659" s="233"/>
      <c r="I659" s="232"/>
      <c r="M659" s="12"/>
    </row>
    <row r="660" spans="1:13" s="10" customFormat="1" ht="12.75">
      <c r="A660" s="11"/>
      <c r="E660" s="99"/>
      <c r="M660" s="12"/>
    </row>
    <row r="661" spans="1:13" s="161" customFormat="1" ht="12.75">
      <c r="A661" s="163"/>
      <c r="B661" s="161" t="s">
        <v>10</v>
      </c>
      <c r="H661" s="164"/>
      <c r="I661" s="165" t="s">
        <v>265</v>
      </c>
      <c r="L661" s="162" t="s">
        <v>50</v>
      </c>
      <c r="M661" s="46">
        <f>SUM(M640:M658)</f>
        <v>12</v>
      </c>
    </row>
    <row r="662" spans="1:13" s="10" customFormat="1" ht="12.75">
      <c r="A662" s="11"/>
      <c r="M662" s="12"/>
    </row>
    <row r="663" spans="1:13" s="10" customFormat="1" ht="26.25" customHeight="1">
      <c r="A663" s="106" t="str">
        <f>ORÇAMENTO!A77</f>
        <v>6.3</v>
      </c>
      <c r="B663" s="107"/>
      <c r="C663" s="383" t="str">
        <f>ORÇAMENTO!D77</f>
        <v>JANELA EM ALUMÍNIO MÁXIM-AR COM ALTURA DE 80CM, LINHA 25/SUPREMA, ACABAMENTO ANODIZADO NATURAL, INCLUSIVE PERFIS, VIDRO LISO 4MM E INSTALAÇÃO, EXCLUSIVE FERRAGENS PARA MÓDULO DE JANELA DE ALUMÍNIO MÁXIM-AR</v>
      </c>
      <c r="D663" s="383"/>
      <c r="E663" s="383"/>
      <c r="F663" s="383"/>
      <c r="G663" s="383"/>
      <c r="H663" s="383"/>
      <c r="I663" s="383"/>
      <c r="J663" s="383"/>
      <c r="K663" s="383"/>
      <c r="L663" s="383"/>
      <c r="M663" s="108" t="str">
        <f>ORÇAMENTO!E77</f>
        <v>M2</v>
      </c>
    </row>
    <row r="664" spans="1:13" s="10" customFormat="1" ht="12.75">
      <c r="A664" s="11"/>
      <c r="M664" s="12"/>
    </row>
    <row r="665" spans="1:13" s="10" customFormat="1" ht="12.75">
      <c r="A665" s="11"/>
      <c r="B665" s="10" t="s">
        <v>657</v>
      </c>
      <c r="D665" s="88" t="s">
        <v>50</v>
      </c>
      <c r="E665" s="89">
        <v>1.4</v>
      </c>
      <c r="F665" s="219" t="s">
        <v>69</v>
      </c>
      <c r="G665" s="89">
        <v>0.6</v>
      </c>
      <c r="H665" s="219" t="s">
        <v>69</v>
      </c>
      <c r="I665" s="89">
        <v>1</v>
      </c>
      <c r="L665" s="93" t="s">
        <v>50</v>
      </c>
      <c r="M665" s="13">
        <f>E665*G665*I665</f>
        <v>0.84</v>
      </c>
    </row>
    <row r="666" spans="1:13" s="10" customFormat="1" ht="12.75">
      <c r="A666" s="11"/>
      <c r="B666" s="10" t="s">
        <v>642</v>
      </c>
      <c r="E666" s="99" t="s">
        <v>56</v>
      </c>
      <c r="G666" s="99" t="s">
        <v>266</v>
      </c>
      <c r="I666" s="99" t="s">
        <v>291</v>
      </c>
      <c r="M666" s="12"/>
    </row>
    <row r="667" spans="1:13" s="10" customFormat="1" ht="12.75">
      <c r="A667" s="11"/>
      <c r="E667" s="99"/>
      <c r="M667" s="12"/>
    </row>
    <row r="668" spans="1:13" s="161" customFormat="1" ht="12.75">
      <c r="A668" s="163"/>
      <c r="B668" s="161" t="s">
        <v>10</v>
      </c>
      <c r="H668" s="164"/>
      <c r="I668" s="165" t="s">
        <v>265</v>
      </c>
      <c r="L668" s="162" t="s">
        <v>50</v>
      </c>
      <c r="M668" s="46">
        <f>SUM(M665)</f>
        <v>0.84</v>
      </c>
    </row>
    <row r="669" spans="1:13" s="10" customFormat="1" ht="12.75">
      <c r="A669" s="11"/>
      <c r="M669" s="12"/>
    </row>
    <row r="670" spans="1:13" s="10" customFormat="1" ht="26.25" customHeight="1">
      <c r="A670" s="106" t="str">
        <f>ORÇAMENTO!A78</f>
        <v>6.4</v>
      </c>
      <c r="B670" s="107"/>
      <c r="C670" s="383" t="str">
        <f>ORÇAMENTO!D78</f>
        <v>FERRAGENS PARA MÓDULO DE JANELA DE ALUMÍNIO MÁXIM-AR, INCLUSIVE FECHO E BRAÇO, FORNECIMENTO E INSTALAÇÃO, EXCLUSIVE JANELA</v>
      </c>
      <c r="D670" s="383"/>
      <c r="E670" s="383"/>
      <c r="F670" s="383"/>
      <c r="G670" s="383"/>
      <c r="H670" s="383"/>
      <c r="I670" s="383"/>
      <c r="J670" s="383"/>
      <c r="K670" s="383"/>
      <c r="L670" s="383"/>
      <c r="M670" s="108" t="str">
        <f>ORÇAMENTO!E78</f>
        <v>UN</v>
      </c>
    </row>
    <row r="671" spans="1:13" s="10" customFormat="1" ht="12.75">
      <c r="A671" s="11"/>
      <c r="M671" s="12"/>
    </row>
    <row r="672" spans="1:13" s="10" customFormat="1" ht="12.75">
      <c r="A672" s="11"/>
      <c r="B672" s="10" t="s">
        <v>657</v>
      </c>
      <c r="D672" s="88" t="s">
        <v>50</v>
      </c>
      <c r="E672" s="89">
        <v>1</v>
      </c>
      <c r="F672" s="220"/>
      <c r="G672" s="221"/>
      <c r="H672" s="220"/>
      <c r="I672" s="221"/>
      <c r="L672" s="93" t="s">
        <v>50</v>
      </c>
      <c r="M672" s="13">
        <f>E672</f>
        <v>1</v>
      </c>
    </row>
    <row r="673" spans="1:13" s="10" customFormat="1" ht="12.75">
      <c r="A673" s="11"/>
      <c r="B673" s="10" t="s">
        <v>642</v>
      </c>
      <c r="E673" s="99" t="s">
        <v>291</v>
      </c>
      <c r="F673" s="222"/>
      <c r="G673" s="234"/>
      <c r="H673" s="222"/>
      <c r="I673" s="234"/>
      <c r="M673" s="12"/>
    </row>
    <row r="674" spans="1:13" s="10" customFormat="1" ht="12.75">
      <c r="A674" s="11"/>
      <c r="E674" s="99"/>
      <c r="M674" s="12"/>
    </row>
    <row r="675" spans="1:13" s="161" customFormat="1" ht="12.75">
      <c r="A675" s="163"/>
      <c r="B675" s="161" t="s">
        <v>10</v>
      </c>
      <c r="H675" s="164"/>
      <c r="I675" s="165" t="s">
        <v>265</v>
      </c>
      <c r="L675" s="162" t="s">
        <v>50</v>
      </c>
      <c r="M675" s="46">
        <f>SUM(M672)</f>
        <v>1</v>
      </c>
    </row>
    <row r="676" spans="1:13" s="10" customFormat="1" ht="12.75">
      <c r="A676" s="11"/>
      <c r="M676" s="12"/>
    </row>
    <row r="677" spans="1:13" s="10" customFormat="1" ht="39" customHeight="1">
      <c r="A677" s="106" t="str">
        <f>ORÇAMENTO!A79</f>
        <v>6.5</v>
      </c>
      <c r="B677" s="107"/>
      <c r="C677" s="383" t="str">
        <f>ORÇAMENTO!D79</f>
        <v>PORTA DE MADEIRA COMPLETA, DIMENSÃO (90X210)CM, TIPO DE ABRIR, UMA (1) FOLHA, ACABAMENTO NATURAL PARA PINTURA/VERNIZ, TIPO PRANCHETA/SARRAFEADA, INCLUSIVE MARCO, ALIZAR E FERRAGENS, EXCLUSIVE PINTURA/VERNIZ</v>
      </c>
      <c r="D677" s="383"/>
      <c r="E677" s="383"/>
      <c r="F677" s="383"/>
      <c r="G677" s="383"/>
      <c r="H677" s="383"/>
      <c r="I677" s="383"/>
      <c r="J677" s="383"/>
      <c r="K677" s="383"/>
      <c r="L677" s="383"/>
      <c r="M677" s="108" t="str">
        <f>ORÇAMENTO!E79</f>
        <v>UN</v>
      </c>
    </row>
    <row r="678" spans="1:13" s="10" customFormat="1" ht="12.75">
      <c r="A678" s="11"/>
      <c r="M678" s="12"/>
    </row>
    <row r="679" spans="1:13" s="10" customFormat="1" ht="12.75">
      <c r="A679" s="11"/>
      <c r="B679" s="10" t="s">
        <v>855</v>
      </c>
      <c r="D679" s="88" t="s">
        <v>50</v>
      </c>
      <c r="E679" s="89">
        <v>1</v>
      </c>
      <c r="F679" s="90"/>
      <c r="G679" s="91"/>
      <c r="H679" s="90"/>
      <c r="I679" s="94"/>
      <c r="J679" s="90"/>
      <c r="L679" s="93" t="s">
        <v>50</v>
      </c>
      <c r="M679" s="13">
        <f>E679</f>
        <v>1</v>
      </c>
    </row>
    <row r="680" spans="1:13" s="10" customFormat="1" ht="12.75">
      <c r="A680" s="11"/>
      <c r="B680" s="10" t="s">
        <v>664</v>
      </c>
      <c r="E680" s="99" t="s">
        <v>291</v>
      </c>
      <c r="G680" s="99"/>
      <c r="I680" s="99"/>
      <c r="M680" s="12"/>
    </row>
    <row r="681" spans="1:13" s="10" customFormat="1" ht="12.75">
      <c r="A681" s="11"/>
      <c r="M681" s="12"/>
    </row>
    <row r="682" spans="1:13" s="161" customFormat="1" ht="12.75">
      <c r="A682" s="163"/>
      <c r="B682" s="161" t="s">
        <v>10</v>
      </c>
      <c r="H682" s="164"/>
      <c r="I682" s="165" t="s">
        <v>265</v>
      </c>
      <c r="L682" s="162" t="s">
        <v>50</v>
      </c>
      <c r="M682" s="46">
        <f>SUM(M679)</f>
        <v>1</v>
      </c>
    </row>
    <row r="683" spans="1:13" s="10" customFormat="1" ht="12.75">
      <c r="A683" s="11"/>
      <c r="M683" s="12"/>
    </row>
    <row r="684" spans="1:13" s="10" customFormat="1" ht="45" customHeight="1">
      <c r="A684" s="106" t="str">
        <f>ORÇAMENTO!A80</f>
        <v>6.6</v>
      </c>
      <c r="B684" s="107"/>
      <c r="C684" s="383" t="str">
        <f>ORÇAMENTO!D80</f>
        <v>PORTA DE MADEIRA COMPLETA, DIMENSÃO (90X210)CM, TIPO DE ABRIR, UMA (1) FOLHA, ACABAMENTO NATURAL PARA PINTURA/VERNIZ, TIPO PRANCHETA/SARRAFEADA, COM PROTEÇÃO INFERIOR EM REVESTIMENTO DE LAMINADO MELAMÍNICO NAS DUAS (2) FACES, INCLUSIVE MARCO, ALIZAR E FERRAGENS, EXCLUSIVE PINTURA/VERNIZ</v>
      </c>
      <c r="D684" s="383"/>
      <c r="E684" s="383"/>
      <c r="F684" s="383"/>
      <c r="G684" s="383"/>
      <c r="H684" s="383"/>
      <c r="I684" s="383"/>
      <c r="J684" s="383"/>
      <c r="K684" s="383"/>
      <c r="L684" s="383"/>
      <c r="M684" s="108" t="str">
        <f>ORÇAMENTO!E80</f>
        <v>UN</v>
      </c>
    </row>
    <row r="685" spans="1:13" s="10" customFormat="1" ht="12.75">
      <c r="A685" s="11"/>
      <c r="M685" s="12"/>
    </row>
    <row r="686" spans="1:13" s="10" customFormat="1" ht="12.75">
      <c r="A686" s="11"/>
      <c r="B686" s="10" t="s">
        <v>855</v>
      </c>
      <c r="D686" s="88" t="s">
        <v>50</v>
      </c>
      <c r="E686" s="89">
        <v>2</v>
      </c>
      <c r="F686" s="90"/>
      <c r="G686" s="91"/>
      <c r="H686" s="90"/>
      <c r="I686" s="94"/>
      <c r="J686" s="90"/>
      <c r="L686" s="93" t="s">
        <v>50</v>
      </c>
      <c r="M686" s="13">
        <f>E686</f>
        <v>2</v>
      </c>
    </row>
    <row r="687" spans="1:13" s="10" customFormat="1" ht="12.75">
      <c r="A687" s="11"/>
      <c r="B687" s="10" t="s">
        <v>662</v>
      </c>
      <c r="E687" s="99" t="s">
        <v>291</v>
      </c>
      <c r="G687" s="99"/>
      <c r="I687" s="99"/>
      <c r="M687" s="12"/>
    </row>
    <row r="688" spans="1:13" s="10" customFormat="1" ht="12.75">
      <c r="A688" s="11"/>
      <c r="M688" s="12"/>
    </row>
    <row r="689" spans="1:13" s="161" customFormat="1" ht="12.75">
      <c r="A689" s="163"/>
      <c r="B689" s="161" t="s">
        <v>10</v>
      </c>
      <c r="H689" s="164"/>
      <c r="I689" s="165" t="s">
        <v>265</v>
      </c>
      <c r="L689" s="162" t="s">
        <v>50</v>
      </c>
      <c r="M689" s="46">
        <f>SUM(M686)</f>
        <v>2</v>
      </c>
    </row>
    <row r="690" spans="1:13" s="10" customFormat="1" ht="12.75">
      <c r="A690" s="11"/>
      <c r="M690" s="12"/>
    </row>
    <row r="691" spans="1:13" s="10" customFormat="1" ht="39" customHeight="1">
      <c r="A691" s="106" t="str">
        <f>ORÇAMENTO!A81</f>
        <v>6.7</v>
      </c>
      <c r="B691" s="107"/>
      <c r="C691" s="383" t="str">
        <f>ORÇAMENTO!D81</f>
        <v>PORTA DE MADEIRA COMPLETA, DIMENSÃO (80X210)CM, TIPO DE ABRIR, UMA (1) FOLHA, ACABAMENTO NATURAL PARA PINTURA/VERNIZ, TIPO PRANCHETA/SARRAFEADA, INCLUSIVE MARCO, ALIZAR E FERRAGENS, EXCLUSIVE PINTURA/VERNIZ</v>
      </c>
      <c r="D691" s="383"/>
      <c r="E691" s="383"/>
      <c r="F691" s="383"/>
      <c r="G691" s="383"/>
      <c r="H691" s="383"/>
      <c r="I691" s="383"/>
      <c r="J691" s="383"/>
      <c r="K691" s="383"/>
      <c r="L691" s="383"/>
      <c r="M691" s="108" t="str">
        <f>ORÇAMENTO!E81</f>
        <v>UN</v>
      </c>
    </row>
    <row r="692" spans="1:13" s="10" customFormat="1" ht="12.75">
      <c r="A692" s="11"/>
      <c r="M692" s="12"/>
    </row>
    <row r="693" spans="1:13" s="10" customFormat="1" ht="12.75">
      <c r="A693" s="11"/>
      <c r="B693" s="10" t="s">
        <v>856</v>
      </c>
      <c r="D693" s="88" t="s">
        <v>50</v>
      </c>
      <c r="E693" s="89">
        <v>1</v>
      </c>
      <c r="F693" s="90"/>
      <c r="G693" s="91"/>
      <c r="H693" s="90"/>
      <c r="I693" s="94"/>
      <c r="J693" s="90"/>
      <c r="L693" s="93" t="s">
        <v>50</v>
      </c>
      <c r="M693" s="13">
        <f>E693</f>
        <v>1</v>
      </c>
    </row>
    <row r="694" spans="1:13" s="10" customFormat="1" ht="12.75">
      <c r="A694" s="11"/>
      <c r="B694" s="10" t="s">
        <v>640</v>
      </c>
      <c r="E694" s="99" t="s">
        <v>291</v>
      </c>
      <c r="G694" s="99"/>
      <c r="I694" s="99"/>
      <c r="M694" s="12"/>
    </row>
    <row r="695" spans="1:13" s="10" customFormat="1" ht="12.75">
      <c r="A695" s="11"/>
      <c r="M695" s="12"/>
    </row>
    <row r="696" spans="1:13" s="10" customFormat="1" ht="12.75">
      <c r="A696" s="11"/>
      <c r="B696" s="10" t="s">
        <v>856</v>
      </c>
      <c r="D696" s="88" t="s">
        <v>50</v>
      </c>
      <c r="E696" s="89">
        <v>1</v>
      </c>
      <c r="F696" s="219"/>
      <c r="G696" s="91"/>
      <c r="H696" s="219"/>
      <c r="I696" s="94"/>
      <c r="J696" s="219"/>
      <c r="L696" s="93" t="s">
        <v>50</v>
      </c>
      <c r="M696" s="13">
        <f>E696</f>
        <v>1</v>
      </c>
    </row>
    <row r="697" spans="1:13" s="10" customFormat="1" ht="12.75">
      <c r="A697" s="11"/>
      <c r="B697" s="10" t="s">
        <v>669</v>
      </c>
      <c r="E697" s="99" t="s">
        <v>291</v>
      </c>
      <c r="G697" s="99"/>
      <c r="I697" s="99"/>
      <c r="M697" s="12"/>
    </row>
    <row r="698" spans="1:13" s="10" customFormat="1" ht="12.75">
      <c r="A698" s="11"/>
      <c r="M698" s="12"/>
    </row>
    <row r="699" spans="1:13" s="161" customFormat="1" ht="12.75">
      <c r="A699" s="163"/>
      <c r="B699" s="161" t="s">
        <v>10</v>
      </c>
      <c r="H699" s="164"/>
      <c r="I699" s="165" t="s">
        <v>265</v>
      </c>
      <c r="L699" s="162" t="s">
        <v>50</v>
      </c>
      <c r="M699" s="46">
        <f>SUM(M693:M696)</f>
        <v>2</v>
      </c>
    </row>
    <row r="700" spans="1:13" s="10" customFormat="1" ht="12.75">
      <c r="A700" s="11"/>
      <c r="M700" s="12"/>
    </row>
    <row r="701" spans="1:13" s="10" customFormat="1" ht="39" customHeight="1">
      <c r="A701" s="106" t="str">
        <f>ORÇAMENTO!A82</f>
        <v>6.8</v>
      </c>
      <c r="B701" s="107"/>
      <c r="C701" s="383" t="str">
        <f>ORÇAMENTO!D82</f>
        <v>PORTA DE MADEIRA COMPLETA, DIMENSÃO (70X210)CM, TIPO DE ABRIR, UMA (1) FOLHA, ACABAMENTO NATURAL PARA PINTURA/VERNIZ, TIPO PRANCHETA/SARRAFEADA, INCLUSIVE MARCO, ALIZAR E FERRAGENS, EXCLUSIVE PINTURA/VERNIZ</v>
      </c>
      <c r="D701" s="383"/>
      <c r="E701" s="383"/>
      <c r="F701" s="383"/>
      <c r="G701" s="383"/>
      <c r="H701" s="383"/>
      <c r="I701" s="383"/>
      <c r="J701" s="383"/>
      <c r="K701" s="383"/>
      <c r="L701" s="383"/>
      <c r="M701" s="108" t="str">
        <f>ORÇAMENTO!E82</f>
        <v>UN</v>
      </c>
    </row>
    <row r="702" spans="1:13" s="10" customFormat="1" ht="12.75">
      <c r="A702" s="11"/>
      <c r="M702" s="12"/>
    </row>
    <row r="703" spans="1:13" s="10" customFormat="1" ht="12.75">
      <c r="A703" s="11"/>
      <c r="B703" s="10" t="s">
        <v>857</v>
      </c>
      <c r="D703" s="88" t="s">
        <v>50</v>
      </c>
      <c r="E703" s="89">
        <v>1</v>
      </c>
      <c r="F703" s="90"/>
      <c r="G703" s="91"/>
      <c r="H703" s="90"/>
      <c r="I703" s="94"/>
      <c r="J703" s="90"/>
      <c r="L703" s="93" t="s">
        <v>50</v>
      </c>
      <c r="M703" s="13">
        <f>E703</f>
        <v>1</v>
      </c>
    </row>
    <row r="704" spans="1:13" s="10" customFormat="1" ht="12.75">
      <c r="A704" s="11"/>
      <c r="B704" s="10" t="s">
        <v>642</v>
      </c>
      <c r="E704" s="99" t="s">
        <v>291</v>
      </c>
      <c r="G704" s="99"/>
      <c r="I704" s="99"/>
      <c r="M704" s="12"/>
    </row>
    <row r="705" spans="1:13" s="10" customFormat="1" ht="12.75">
      <c r="A705" s="11"/>
      <c r="M705" s="12"/>
    </row>
    <row r="706" spans="1:13" s="10" customFormat="1" ht="12.75">
      <c r="A706" s="11"/>
      <c r="B706" s="10" t="s">
        <v>857</v>
      </c>
      <c r="D706" s="88" t="s">
        <v>50</v>
      </c>
      <c r="E706" s="89">
        <v>1</v>
      </c>
      <c r="F706" s="90"/>
      <c r="G706" s="91"/>
      <c r="H706" s="90"/>
      <c r="I706" s="94"/>
      <c r="J706" s="90"/>
      <c r="L706" s="93" t="s">
        <v>50</v>
      </c>
      <c r="M706" s="13">
        <f>E706</f>
        <v>1</v>
      </c>
    </row>
    <row r="707" spans="1:13" s="10" customFormat="1" ht="12.75">
      <c r="A707" s="11"/>
      <c r="B707" s="10" t="s">
        <v>599</v>
      </c>
      <c r="E707" s="99" t="s">
        <v>291</v>
      </c>
      <c r="G707" s="99"/>
      <c r="I707" s="99"/>
      <c r="M707" s="12"/>
    </row>
    <row r="708" spans="1:13" s="10" customFormat="1" ht="12.75">
      <c r="A708" s="11"/>
      <c r="M708" s="12"/>
    </row>
    <row r="709" spans="1:13" s="161" customFormat="1" ht="12.75">
      <c r="A709" s="163"/>
      <c r="B709" s="161" t="s">
        <v>10</v>
      </c>
      <c r="H709" s="164"/>
      <c r="I709" s="165" t="s">
        <v>265</v>
      </c>
      <c r="L709" s="162" t="s">
        <v>50</v>
      </c>
      <c r="M709" s="46">
        <f>SUM(M703:M706)</f>
        <v>2</v>
      </c>
    </row>
    <row r="710" spans="1:13" s="10" customFormat="1" ht="12.75">
      <c r="A710" s="11"/>
      <c r="M710" s="12"/>
    </row>
    <row r="711" spans="1:13" s="10" customFormat="1" ht="39" customHeight="1">
      <c r="A711" s="106" t="str">
        <f>ORÇAMENTO!A83</f>
        <v>6.9</v>
      </c>
      <c r="B711" s="107"/>
      <c r="C711" s="383" t="str">
        <f>ORÇAMENTO!D83</f>
        <v>PORTA METÁLICA, TIPO DE CORRER, COM UMA (1) FOLHA, EM CHAPA GALVANIZADA LAMBRIL, MODELO ONDULADA, INCLUSIVE FORNECIMENTO, ASSENTAMENTO, PERFIS PARA MARCO E PINTURA ANTICORROSIVA COM UMA (1) DEMÃO, EXCLUSIVE FECHADURA E ROLDANAS</v>
      </c>
      <c r="D711" s="383"/>
      <c r="E711" s="383"/>
      <c r="F711" s="383"/>
      <c r="G711" s="383"/>
      <c r="H711" s="383"/>
      <c r="I711" s="383"/>
      <c r="J711" s="383"/>
      <c r="K711" s="383"/>
      <c r="L711" s="383"/>
      <c r="M711" s="108" t="str">
        <f>ORÇAMENTO!E83</f>
        <v>M2</v>
      </c>
    </row>
    <row r="712" spans="1:13" s="10" customFormat="1" ht="12.75">
      <c r="A712" s="11"/>
      <c r="M712" s="12"/>
    </row>
    <row r="713" spans="1:13" s="10" customFormat="1" ht="12.75">
      <c r="A713" s="11"/>
      <c r="B713" s="10" t="s">
        <v>859</v>
      </c>
      <c r="D713" s="88" t="s">
        <v>50</v>
      </c>
      <c r="E713" s="89">
        <v>1.8</v>
      </c>
      <c r="F713" s="219" t="s">
        <v>69</v>
      </c>
      <c r="G713" s="89">
        <v>2.1</v>
      </c>
      <c r="H713" s="219"/>
      <c r="I713" s="94"/>
      <c r="J713" s="219"/>
      <c r="L713" s="93" t="s">
        <v>50</v>
      </c>
      <c r="M713" s="13">
        <f>E713*G713</f>
        <v>3.7800000000000002</v>
      </c>
    </row>
    <row r="714" spans="1:13" s="10" customFormat="1" ht="12.75">
      <c r="A714" s="11"/>
      <c r="B714" s="10" t="s">
        <v>853</v>
      </c>
      <c r="E714" s="99" t="s">
        <v>56</v>
      </c>
      <c r="G714" s="99" t="s">
        <v>264</v>
      </c>
      <c r="I714" s="99"/>
      <c r="M714" s="12"/>
    </row>
    <row r="715" spans="1:13" s="10" customFormat="1" ht="12.75">
      <c r="A715" s="11"/>
      <c r="M715" s="12"/>
    </row>
    <row r="716" spans="1:13" s="161" customFormat="1" ht="12.75">
      <c r="A716" s="163"/>
      <c r="B716" s="161" t="s">
        <v>10</v>
      </c>
      <c r="H716" s="164"/>
      <c r="I716" s="165" t="s">
        <v>265</v>
      </c>
      <c r="L716" s="162" t="s">
        <v>50</v>
      </c>
      <c r="M716" s="46">
        <f>SUM(M713)</f>
        <v>3.7800000000000002</v>
      </c>
    </row>
    <row r="717" spans="1:13" s="10" customFormat="1" ht="12.75">
      <c r="A717" s="11"/>
      <c r="M717" s="12"/>
    </row>
    <row r="718" spans="1:13" s="10" customFormat="1" ht="39" customHeight="1">
      <c r="A718" s="106" t="str">
        <f>ORÇAMENTO!A84</f>
        <v>6.10</v>
      </c>
      <c r="B718" s="107"/>
      <c r="C718" s="383" t="str">
        <f>ORÇAMENTO!D84</f>
        <v>FERRAGENS PARA PORTA METÁLICA, DE CORRER, COM UMA (1) FOLHA, BATENTE COM ALTURA MÁXIMA DE 2,3M, INCLUSIVE FECHADURA, MODELO BICO PAPAGAIO, ROLDANA INFERIOR E SUPERIOR, MODELO TIPO U, COM CAPACIDADE PARA 360KG, FORNECIMENTO, ACESSÓRIOS E INSTALAÇÃO, EXCLUSIVE PORTA METÁLICA</v>
      </c>
      <c r="D718" s="383"/>
      <c r="E718" s="383"/>
      <c r="F718" s="383"/>
      <c r="G718" s="383"/>
      <c r="H718" s="383"/>
      <c r="I718" s="383"/>
      <c r="J718" s="383"/>
      <c r="K718" s="383"/>
      <c r="L718" s="383"/>
      <c r="M718" s="108" t="str">
        <f>ORÇAMENTO!E84</f>
        <v>UN</v>
      </c>
    </row>
    <row r="719" spans="1:13" s="10" customFormat="1" ht="12.75">
      <c r="A719" s="11"/>
      <c r="M719" s="12"/>
    </row>
    <row r="720" spans="1:13" s="10" customFormat="1" ht="12.75">
      <c r="A720" s="11"/>
      <c r="B720" s="10" t="s">
        <v>859</v>
      </c>
      <c r="D720" s="88" t="s">
        <v>50</v>
      </c>
      <c r="E720" s="89">
        <v>1</v>
      </c>
      <c r="F720" s="220"/>
      <c r="G720" s="221"/>
      <c r="H720" s="219"/>
      <c r="I720" s="94"/>
      <c r="J720" s="219"/>
      <c r="L720" s="93" t="s">
        <v>50</v>
      </c>
      <c r="M720" s="13">
        <f>E720</f>
        <v>1</v>
      </c>
    </row>
    <row r="721" spans="1:13" s="10" customFormat="1" ht="12.75">
      <c r="A721" s="11"/>
      <c r="B721" s="10" t="s">
        <v>853</v>
      </c>
      <c r="E721" s="99" t="s">
        <v>680</v>
      </c>
      <c r="F721" s="222"/>
      <c r="G721" s="234"/>
      <c r="I721" s="99"/>
      <c r="M721" s="12"/>
    </row>
    <row r="722" spans="1:13" s="10" customFormat="1" ht="12.75">
      <c r="A722" s="11"/>
      <c r="M722" s="12"/>
    </row>
    <row r="723" spans="1:13" s="161" customFormat="1" ht="12.75">
      <c r="A723" s="163"/>
      <c r="B723" s="161" t="s">
        <v>10</v>
      </c>
      <c r="H723" s="164"/>
      <c r="I723" s="165" t="s">
        <v>265</v>
      </c>
      <c r="L723" s="162" t="s">
        <v>50</v>
      </c>
      <c r="M723" s="46">
        <f>SUM(M720)</f>
        <v>1</v>
      </c>
    </row>
    <row r="724" spans="1:13" s="10" customFormat="1" ht="12.75">
      <c r="A724" s="11"/>
      <c r="M724" s="12"/>
    </row>
    <row r="725" spans="1:13" s="10" customFormat="1" ht="39" customHeight="1">
      <c r="A725" s="106" t="str">
        <f>ORÇAMENTO!A85</f>
        <v>6.11</v>
      </c>
      <c r="B725" s="107"/>
      <c r="C725" s="383" t="str">
        <f>ORÇAMENTO!D85</f>
        <v>PORTA DE VIDRO TEMPERADO, 2 FOLHAS DE 70X210 CM, ESPESSURA DE 10MM, INCLUSIVE ACESSÓRIOS. AF_01/2021</v>
      </c>
      <c r="D725" s="383"/>
      <c r="E725" s="383"/>
      <c r="F725" s="383"/>
      <c r="G725" s="383"/>
      <c r="H725" s="383"/>
      <c r="I725" s="383"/>
      <c r="J725" s="383"/>
      <c r="K725" s="383"/>
      <c r="L725" s="383"/>
      <c r="M725" s="108" t="str">
        <f>ORÇAMENTO!E85</f>
        <v>M2</v>
      </c>
    </row>
    <row r="726" spans="1:13" s="10" customFormat="1" ht="12.75">
      <c r="A726" s="11"/>
      <c r="M726" s="12"/>
    </row>
    <row r="727" spans="1:13" s="10" customFormat="1" ht="12.75">
      <c r="A727" s="11"/>
      <c r="B727" s="10" t="s">
        <v>858</v>
      </c>
      <c r="D727" s="88" t="s">
        <v>50</v>
      </c>
      <c r="E727" s="89">
        <v>1.4</v>
      </c>
      <c r="F727" s="219" t="s">
        <v>69</v>
      </c>
      <c r="G727" s="89">
        <v>2.1</v>
      </c>
      <c r="H727" s="219"/>
      <c r="I727" s="94"/>
      <c r="J727" s="219"/>
      <c r="L727" s="93" t="s">
        <v>50</v>
      </c>
      <c r="M727" s="13">
        <f>E727*G727</f>
        <v>2.94</v>
      </c>
    </row>
    <row r="728" spans="1:13" s="10" customFormat="1" ht="12.75">
      <c r="A728" s="11"/>
      <c r="B728" s="10" t="s">
        <v>854</v>
      </c>
      <c r="E728" s="99" t="s">
        <v>56</v>
      </c>
      <c r="G728" s="99" t="s">
        <v>264</v>
      </c>
      <c r="I728" s="99"/>
      <c r="M728" s="12"/>
    </row>
    <row r="729" spans="1:13" s="10" customFormat="1" ht="12.75">
      <c r="A729" s="11"/>
      <c r="M729" s="12"/>
    </row>
    <row r="730" spans="1:13" s="161" customFormat="1" ht="12.75">
      <c r="A730" s="163"/>
      <c r="B730" s="161" t="s">
        <v>10</v>
      </c>
      <c r="H730" s="164"/>
      <c r="I730" s="165" t="s">
        <v>265</v>
      </c>
      <c r="L730" s="162" t="s">
        <v>50</v>
      </c>
      <c r="M730" s="46">
        <f>SUM(M727)</f>
        <v>2.94</v>
      </c>
    </row>
    <row r="731" spans="1:13" s="10" customFormat="1" ht="12.75">
      <c r="A731" s="11"/>
      <c r="M731" s="12"/>
    </row>
    <row r="732" spans="1:13" s="10" customFormat="1" ht="15">
      <c r="A732" s="16" t="str">
        <f>ORÇAMENTO!A87</f>
        <v>7.</v>
      </c>
      <c r="B732" s="85"/>
      <c r="C732" s="386" t="str">
        <f>ORÇAMENTO!B87</f>
        <v>COBERTURA</v>
      </c>
      <c r="D732" s="386"/>
      <c r="E732" s="386"/>
      <c r="F732" s="386"/>
      <c r="G732" s="386"/>
      <c r="H732" s="386"/>
      <c r="I732" s="386"/>
      <c r="J732" s="386"/>
      <c r="K732" s="386"/>
      <c r="L732" s="386"/>
      <c r="M732" s="387"/>
    </row>
    <row r="733" spans="1:13" s="10" customFormat="1" ht="15">
      <c r="A733" s="41"/>
      <c r="C733" s="98"/>
      <c r="D733" s="98"/>
      <c r="E733" s="98"/>
      <c r="F733" s="98"/>
      <c r="G733" s="98"/>
      <c r="H733" s="98"/>
      <c r="I733" s="98"/>
      <c r="J733" s="98"/>
      <c r="K733" s="98"/>
      <c r="L733" s="98"/>
      <c r="M733" s="42"/>
    </row>
    <row r="734" spans="1:13" s="10" customFormat="1" ht="24.95" customHeight="1">
      <c r="A734" s="38" t="str">
        <f>ORÇAMENTO!A88</f>
        <v>7.1</v>
      </c>
      <c r="B734" s="86"/>
      <c r="C734" s="392" t="str">
        <f>ORÇAMENTO!D88</f>
        <v>INSTALAÇÃO DE TESOURA (INTEIRA OU MEIA), EM AÇO, PARA VÃOS MAIORES OU IGUAIS A 3,0 M E MENORES QUE 6,0 M, INCLUSO IÇAMENTO. AF_07/2019</v>
      </c>
      <c r="D734" s="392"/>
      <c r="E734" s="392"/>
      <c r="F734" s="392"/>
      <c r="G734" s="392"/>
      <c r="H734" s="392"/>
      <c r="I734" s="392"/>
      <c r="J734" s="392"/>
      <c r="K734" s="392"/>
      <c r="L734" s="392"/>
      <c r="M734" s="47" t="str">
        <f>ORÇAMENTO!E88</f>
        <v>UN</v>
      </c>
    </row>
    <row r="735" spans="1:13" s="10" customFormat="1" ht="12.75">
      <c r="A735" s="216"/>
      <c r="M735" s="12"/>
    </row>
    <row r="736" spans="1:13" s="10" customFormat="1" ht="12.75">
      <c r="A736" s="216"/>
      <c r="B736" s="87" t="s">
        <v>505</v>
      </c>
      <c r="D736" s="88" t="s">
        <v>50</v>
      </c>
      <c r="E736" s="89">
        <v>3</v>
      </c>
      <c r="F736" s="219"/>
      <c r="G736" s="94"/>
      <c r="J736" s="92"/>
      <c r="K736" s="92"/>
      <c r="L736" s="93" t="s">
        <v>50</v>
      </c>
      <c r="M736" s="13">
        <f>E736</f>
        <v>3</v>
      </c>
    </row>
    <row r="737" spans="1:13" s="10" customFormat="1" ht="12.75">
      <c r="A737" s="216"/>
      <c r="B737" s="10" t="s">
        <v>645</v>
      </c>
      <c r="E737" s="99" t="s">
        <v>680</v>
      </c>
      <c r="G737" s="99"/>
      <c r="M737" s="12"/>
    </row>
    <row r="738" spans="1:13" s="79" customFormat="1" ht="12.75">
      <c r="A738" s="216"/>
      <c r="B738" s="100"/>
      <c r="C738" s="81"/>
      <c r="D738" s="100"/>
      <c r="E738" s="81"/>
      <c r="F738" s="100"/>
      <c r="G738" s="81"/>
      <c r="H738" s="100"/>
      <c r="I738" s="81"/>
      <c r="J738" s="10"/>
      <c r="K738" s="10"/>
      <c r="L738" s="101"/>
      <c r="M738" s="80"/>
    </row>
    <row r="739" spans="1:13" s="10" customFormat="1" ht="12.75">
      <c r="A739" s="216"/>
      <c r="B739" s="87" t="s">
        <v>505</v>
      </c>
      <c r="D739" s="88" t="s">
        <v>50</v>
      </c>
      <c r="E739" s="89">
        <v>5</v>
      </c>
      <c r="F739" s="219"/>
      <c r="G739" s="94"/>
      <c r="J739" s="92"/>
      <c r="K739" s="92"/>
      <c r="L739" s="93" t="s">
        <v>50</v>
      </c>
      <c r="M739" s="13">
        <f>E739</f>
        <v>5</v>
      </c>
    </row>
    <row r="740" spans="1:13" s="10" customFormat="1" ht="12.75">
      <c r="A740" s="216"/>
      <c r="B740" s="10" t="s">
        <v>589</v>
      </c>
      <c r="E740" s="99" t="s">
        <v>680</v>
      </c>
      <c r="G740" s="99"/>
      <c r="M740" s="12"/>
    </row>
    <row r="741" spans="1:13" s="79" customFormat="1" ht="12.75">
      <c r="A741" s="216"/>
      <c r="B741" s="100"/>
      <c r="C741" s="81"/>
      <c r="D741" s="100"/>
      <c r="E741" s="81"/>
      <c r="F741" s="100"/>
      <c r="G741" s="81"/>
      <c r="H741" s="100"/>
      <c r="I741" s="81"/>
      <c r="J741" s="10"/>
      <c r="K741" s="10"/>
      <c r="L741" s="101"/>
      <c r="M741" s="80"/>
    </row>
    <row r="742" spans="1:13" s="10" customFormat="1" ht="12.75">
      <c r="A742" s="216"/>
      <c r="B742" s="87" t="s">
        <v>505</v>
      </c>
      <c r="D742" s="88" t="s">
        <v>50</v>
      </c>
      <c r="E742" s="89">
        <v>6</v>
      </c>
      <c r="F742" s="219"/>
      <c r="G742" s="94"/>
      <c r="J742" s="92"/>
      <c r="K742" s="92"/>
      <c r="L742" s="93" t="s">
        <v>50</v>
      </c>
      <c r="M742" s="13">
        <f>E742</f>
        <v>6</v>
      </c>
    </row>
    <row r="743" spans="1:13" s="10" customFormat="1" ht="12.75">
      <c r="A743" s="216"/>
      <c r="B743" s="10" t="s">
        <v>577</v>
      </c>
      <c r="E743" s="99" t="s">
        <v>680</v>
      </c>
      <c r="G743" s="99"/>
      <c r="M743" s="12"/>
    </row>
    <row r="744" spans="1:13" s="79" customFormat="1" ht="12.75">
      <c r="A744" s="216"/>
      <c r="B744" s="100"/>
      <c r="C744" s="81"/>
      <c r="D744" s="100"/>
      <c r="E744" s="81"/>
      <c r="F744" s="100"/>
      <c r="G744" s="81"/>
      <c r="H744" s="100"/>
      <c r="I744" s="81"/>
      <c r="J744" s="10"/>
      <c r="K744" s="10"/>
      <c r="L744" s="101"/>
      <c r="M744" s="80"/>
    </row>
    <row r="745" spans="1:13" s="161" customFormat="1" ht="12.75">
      <c r="A745" s="217"/>
      <c r="B745" s="161" t="s">
        <v>10</v>
      </c>
      <c r="I745" s="165" t="s">
        <v>265</v>
      </c>
      <c r="L745" s="162" t="s">
        <v>50</v>
      </c>
      <c r="M745" s="46">
        <f>SUM(M736:M742)</f>
        <v>14</v>
      </c>
    </row>
    <row r="746" spans="1:13" s="10" customFormat="1" ht="12.75">
      <c r="A746" s="216"/>
      <c r="F746" s="81"/>
      <c r="L746" s="93"/>
      <c r="M746" s="14"/>
    </row>
    <row r="747" spans="1:13" s="10" customFormat="1" ht="24.95" customHeight="1">
      <c r="A747" s="38" t="str">
        <f>ORÇAMENTO!A89</f>
        <v>7.2</v>
      </c>
      <c r="B747" s="86"/>
      <c r="C747" s="392" t="str">
        <f>ORÇAMENTO!D89</f>
        <v>TRAMA DE AÇO COMPOSTA POR TERÇAS PARA TELHADOS DE ATÉ 2 ÁGUAS PARA TELHA ONDULADA DE FIBROCIMENTO, METÁLICA, PLÁSTICA OU TERMOACÚSTICA, INCLUSO TRANSPORTE VERTICAL. AF_07/2019</v>
      </c>
      <c r="D747" s="392"/>
      <c r="E747" s="392"/>
      <c r="F747" s="392"/>
      <c r="G747" s="392"/>
      <c r="H747" s="392"/>
      <c r="I747" s="392"/>
      <c r="J747" s="392"/>
      <c r="K747" s="392"/>
      <c r="L747" s="392"/>
      <c r="M747" s="47" t="str">
        <f>ORÇAMENTO!E89</f>
        <v>M2</v>
      </c>
    </row>
    <row r="748" spans="1:13" s="10" customFormat="1" ht="12.75">
      <c r="A748" s="5"/>
      <c r="M748" s="12"/>
    </row>
    <row r="749" spans="1:13" s="10" customFormat="1" ht="12.75">
      <c r="A749" s="216"/>
      <c r="B749" s="87" t="s">
        <v>505</v>
      </c>
      <c r="D749" s="88" t="s">
        <v>50</v>
      </c>
      <c r="E749" s="89">
        <v>32.104999999999997</v>
      </c>
      <c r="F749" s="219"/>
      <c r="G749" s="94"/>
      <c r="J749" s="92"/>
      <c r="K749" s="92"/>
      <c r="L749" s="93" t="s">
        <v>50</v>
      </c>
      <c r="M749" s="13">
        <f>E749</f>
        <v>32.104999999999997</v>
      </c>
    </row>
    <row r="750" spans="1:13" s="10" customFormat="1" ht="12.75">
      <c r="A750" s="216"/>
      <c r="B750" s="10" t="s">
        <v>645</v>
      </c>
      <c r="E750" s="99" t="s">
        <v>121</v>
      </c>
      <c r="G750" s="99"/>
      <c r="M750" s="12"/>
    </row>
    <row r="751" spans="1:13" s="79" customFormat="1" ht="12.75">
      <c r="A751" s="216"/>
      <c r="B751" s="100"/>
      <c r="C751" s="81"/>
      <c r="D751" s="100"/>
      <c r="E751" s="81"/>
      <c r="F751" s="100"/>
      <c r="G751" s="81"/>
      <c r="H751" s="100"/>
      <c r="I751" s="81"/>
      <c r="J751" s="10"/>
      <c r="K751" s="10"/>
      <c r="L751" s="101"/>
      <c r="M751" s="80"/>
    </row>
    <row r="752" spans="1:13" s="10" customFormat="1" ht="12.75">
      <c r="A752" s="216"/>
      <c r="B752" s="87" t="s">
        <v>505</v>
      </c>
      <c r="D752" s="88" t="s">
        <v>50</v>
      </c>
      <c r="E752" s="89">
        <v>75.724999999999994</v>
      </c>
      <c r="F752" s="219"/>
      <c r="G752" s="94"/>
      <c r="J752" s="92"/>
      <c r="K752" s="92"/>
      <c r="L752" s="93" t="s">
        <v>50</v>
      </c>
      <c r="M752" s="13">
        <f>E752</f>
        <v>75.724999999999994</v>
      </c>
    </row>
    <row r="753" spans="1:13" s="10" customFormat="1" ht="12.75">
      <c r="A753" s="216"/>
      <c r="B753" s="10" t="s">
        <v>589</v>
      </c>
      <c r="E753" s="99" t="s">
        <v>121</v>
      </c>
      <c r="G753" s="99"/>
      <c r="M753" s="12"/>
    </row>
    <row r="754" spans="1:13" s="79" customFormat="1" ht="12.75">
      <c r="A754" s="216"/>
      <c r="B754" s="100"/>
      <c r="C754" s="81"/>
      <c r="D754" s="100"/>
      <c r="E754" s="81"/>
      <c r="F754" s="100"/>
      <c r="G754" s="81"/>
      <c r="H754" s="100"/>
      <c r="I754" s="81"/>
      <c r="J754" s="10"/>
      <c r="K754" s="10"/>
      <c r="L754" s="101"/>
      <c r="M754" s="80"/>
    </row>
    <row r="755" spans="1:13" s="10" customFormat="1" ht="12.75">
      <c r="A755" s="216"/>
      <c r="B755" s="87" t="s">
        <v>505</v>
      </c>
      <c r="D755" s="88" t="s">
        <v>50</v>
      </c>
      <c r="E755" s="89">
        <v>80.647999999999996</v>
      </c>
      <c r="F755" s="219"/>
      <c r="G755" s="94"/>
      <c r="J755" s="92"/>
      <c r="K755" s="92"/>
      <c r="L755" s="93" t="s">
        <v>50</v>
      </c>
      <c r="M755" s="13">
        <f>E755</f>
        <v>80.647999999999996</v>
      </c>
    </row>
    <row r="756" spans="1:13" s="10" customFormat="1" ht="12.75">
      <c r="A756" s="216"/>
      <c r="B756" s="10" t="s">
        <v>577</v>
      </c>
      <c r="E756" s="99" t="s">
        <v>121</v>
      </c>
      <c r="G756" s="99"/>
      <c r="M756" s="12"/>
    </row>
    <row r="757" spans="1:13" s="79" customFormat="1" ht="12.75">
      <c r="A757" s="216"/>
      <c r="B757" s="100"/>
      <c r="C757" s="81"/>
      <c r="D757" s="100"/>
      <c r="E757" s="81"/>
      <c r="F757" s="100"/>
      <c r="G757" s="81"/>
      <c r="H757" s="100"/>
      <c r="I757" s="81"/>
      <c r="J757" s="10"/>
      <c r="K757" s="10"/>
      <c r="L757" s="101"/>
      <c r="M757" s="80"/>
    </row>
    <row r="758" spans="1:13" s="161" customFormat="1" ht="12.75">
      <c r="A758" s="160"/>
      <c r="B758" s="161" t="s">
        <v>10</v>
      </c>
      <c r="I758" s="165" t="s">
        <v>265</v>
      </c>
      <c r="L758" s="162" t="s">
        <v>50</v>
      </c>
      <c r="M758" s="46">
        <f>SUM(M749:M755)</f>
        <v>188.47799999999998</v>
      </c>
    </row>
    <row r="759" spans="1:13" s="10" customFormat="1" ht="12.75">
      <c r="A759" s="5"/>
      <c r="F759" s="81"/>
      <c r="L759" s="93"/>
      <c r="M759" s="14"/>
    </row>
    <row r="760" spans="1:13" s="10" customFormat="1" ht="24.95" customHeight="1">
      <c r="A760" s="38" t="str">
        <f>ORÇAMENTO!A90</f>
        <v>7.3</v>
      </c>
      <c r="B760" s="86"/>
      <c r="C760" s="388" t="str">
        <f>ORÇAMENTO!D90</f>
        <v>TELHAMENTO COM TELHA METÁLICA TERMOACÚSTICA E = 30 MM, COM ATÉ 2 ÁGUAS, INCLUSO IÇAMENTO. AF_07/2019</v>
      </c>
      <c r="D760" s="388"/>
      <c r="E760" s="388"/>
      <c r="F760" s="388"/>
      <c r="G760" s="388"/>
      <c r="H760" s="388"/>
      <c r="I760" s="388"/>
      <c r="J760" s="388"/>
      <c r="K760" s="388"/>
      <c r="L760" s="388"/>
      <c r="M760" s="47" t="str">
        <f>ORÇAMENTO!E90</f>
        <v>M2</v>
      </c>
    </row>
    <row r="761" spans="1:13" s="10" customFormat="1" ht="12.75">
      <c r="A761" s="216"/>
      <c r="M761" s="12"/>
    </row>
    <row r="762" spans="1:13" s="10" customFormat="1" ht="12.75">
      <c r="A762" s="216"/>
      <c r="B762" s="87" t="s">
        <v>505</v>
      </c>
      <c r="D762" s="88" t="s">
        <v>50</v>
      </c>
      <c r="E762" s="89">
        <v>75.724999999999994</v>
      </c>
      <c r="F762" s="219"/>
      <c r="G762" s="94"/>
      <c r="J762" s="92"/>
      <c r="K762" s="92"/>
      <c r="L762" s="93" t="s">
        <v>50</v>
      </c>
      <c r="M762" s="13">
        <f>E762</f>
        <v>75.724999999999994</v>
      </c>
    </row>
    <row r="763" spans="1:13" s="10" customFormat="1" ht="12.75">
      <c r="A763" s="216"/>
      <c r="B763" s="10" t="s">
        <v>589</v>
      </c>
      <c r="E763" s="99" t="s">
        <v>121</v>
      </c>
      <c r="G763" s="99"/>
      <c r="M763" s="12"/>
    </row>
    <row r="764" spans="1:13" s="79" customFormat="1" ht="12.75">
      <c r="A764" s="216"/>
      <c r="B764" s="100"/>
      <c r="C764" s="81"/>
      <c r="D764" s="100"/>
      <c r="E764" s="81"/>
      <c r="F764" s="100"/>
      <c r="G764" s="81"/>
      <c r="H764" s="100"/>
      <c r="I764" s="81"/>
      <c r="J764" s="10"/>
      <c r="K764" s="10"/>
      <c r="L764" s="101"/>
      <c r="M764" s="80"/>
    </row>
    <row r="765" spans="1:13" s="161" customFormat="1" ht="12.75">
      <c r="A765" s="217"/>
      <c r="B765" s="161" t="s">
        <v>10</v>
      </c>
      <c r="I765" s="165" t="s">
        <v>265</v>
      </c>
      <c r="L765" s="162" t="s">
        <v>50</v>
      </c>
      <c r="M765" s="46">
        <f>SUM(M762)</f>
        <v>75.724999999999994</v>
      </c>
    </row>
    <row r="766" spans="1:13" s="10" customFormat="1" ht="12.75">
      <c r="A766" s="216"/>
      <c r="F766" s="81"/>
      <c r="I766" s="165"/>
      <c r="L766" s="93"/>
      <c r="M766" s="14"/>
    </row>
    <row r="767" spans="1:13" s="10" customFormat="1" ht="24.95" customHeight="1">
      <c r="A767" s="38" t="str">
        <f>ORÇAMENTO!A91</f>
        <v>7.4</v>
      </c>
      <c r="B767" s="86"/>
      <c r="C767" s="392" t="str">
        <f>ORÇAMENTO!D91</f>
        <v>COBERTURA EM TELHA DE FIBROCIMENTO, TIPO ONDULADA, ESP. 6MM, COM RECOBRIMENTO TRANSVERSAL E LONGITUDINAL, EXCLUSIVE CUMEEIRA E ENGRADAMENTO, INCLUSIVE ACESSÓRIOS DE FIXAÇÃO E IÇAMENTO MANUAL VERTICAL</v>
      </c>
      <c r="D767" s="392"/>
      <c r="E767" s="392"/>
      <c r="F767" s="392"/>
      <c r="G767" s="392"/>
      <c r="H767" s="392"/>
      <c r="I767" s="392"/>
      <c r="J767" s="392"/>
      <c r="K767" s="392"/>
      <c r="L767" s="392"/>
      <c r="M767" s="47" t="str">
        <f>ORÇAMENTO!E91</f>
        <v>M2</v>
      </c>
    </row>
    <row r="768" spans="1:13" s="10" customFormat="1" ht="12.75">
      <c r="A768" s="5"/>
      <c r="M768" s="12"/>
    </row>
    <row r="769" spans="1:13" s="10" customFormat="1" ht="12.75">
      <c r="A769" s="216"/>
      <c r="B769" s="87" t="s">
        <v>505</v>
      </c>
      <c r="D769" s="88" t="s">
        <v>50</v>
      </c>
      <c r="E769" s="89">
        <v>32.104999999999997</v>
      </c>
      <c r="F769" s="219"/>
      <c r="G769" s="94"/>
      <c r="J769" s="92"/>
      <c r="K769" s="92"/>
      <c r="L769" s="93" t="s">
        <v>50</v>
      </c>
      <c r="M769" s="13">
        <f>E769</f>
        <v>32.104999999999997</v>
      </c>
    </row>
    <row r="770" spans="1:13" s="10" customFormat="1" ht="12.75">
      <c r="A770" s="216"/>
      <c r="B770" s="10" t="s">
        <v>645</v>
      </c>
      <c r="E770" s="99" t="s">
        <v>121</v>
      </c>
      <c r="G770" s="99"/>
      <c r="M770" s="12"/>
    </row>
    <row r="771" spans="1:13" s="79" customFormat="1" ht="12.75">
      <c r="A771" s="216"/>
      <c r="B771" s="100"/>
      <c r="C771" s="81"/>
      <c r="D771" s="100"/>
      <c r="E771" s="81"/>
      <c r="F771" s="100"/>
      <c r="G771" s="81"/>
      <c r="H771" s="100"/>
      <c r="I771" s="81"/>
      <c r="J771" s="10"/>
      <c r="K771" s="10"/>
      <c r="L771" s="101"/>
      <c r="M771" s="80"/>
    </row>
    <row r="772" spans="1:13" s="10" customFormat="1" ht="12.75">
      <c r="A772" s="216"/>
      <c r="B772" s="87" t="s">
        <v>505</v>
      </c>
      <c r="D772" s="88" t="s">
        <v>50</v>
      </c>
      <c r="E772" s="89">
        <v>80.647999999999996</v>
      </c>
      <c r="F772" s="219"/>
      <c r="G772" s="94"/>
      <c r="J772" s="92"/>
      <c r="K772" s="92"/>
      <c r="L772" s="93" t="s">
        <v>50</v>
      </c>
      <c r="M772" s="13">
        <f>E772</f>
        <v>80.647999999999996</v>
      </c>
    </row>
    <row r="773" spans="1:13" s="10" customFormat="1" ht="12.75">
      <c r="A773" s="216"/>
      <c r="B773" s="10" t="s">
        <v>577</v>
      </c>
      <c r="E773" s="99" t="s">
        <v>121</v>
      </c>
      <c r="G773" s="99"/>
      <c r="M773" s="12"/>
    </row>
    <row r="774" spans="1:13" s="79" customFormat="1" ht="12.75">
      <c r="A774" s="216"/>
      <c r="B774" s="100"/>
      <c r="C774" s="81"/>
      <c r="D774" s="100"/>
      <c r="E774" s="81"/>
      <c r="F774" s="100"/>
      <c r="G774" s="81"/>
      <c r="H774" s="100"/>
      <c r="I774" s="81"/>
      <c r="J774" s="10"/>
      <c r="K774" s="10"/>
      <c r="L774" s="101"/>
      <c r="M774" s="80"/>
    </row>
    <row r="775" spans="1:13" s="161" customFormat="1" ht="12.75">
      <c r="A775" s="160"/>
      <c r="B775" s="161" t="s">
        <v>10</v>
      </c>
      <c r="I775" s="165" t="s">
        <v>265</v>
      </c>
      <c r="L775" s="162" t="s">
        <v>50</v>
      </c>
      <c r="M775" s="46">
        <f>SUM(M769:M772)</f>
        <v>112.75299999999999</v>
      </c>
    </row>
    <row r="776" spans="1:13" s="10" customFormat="1" ht="12.75">
      <c r="A776" s="5"/>
      <c r="F776" s="81"/>
      <c r="I776" s="165"/>
      <c r="L776" s="93"/>
      <c r="M776" s="14"/>
    </row>
    <row r="777" spans="1:13" s="10" customFormat="1" ht="24.95" customHeight="1">
      <c r="A777" s="38" t="str">
        <f>ORÇAMENTO!A92</f>
        <v>7.5</v>
      </c>
      <c r="B777" s="86"/>
      <c r="C777" s="392" t="str">
        <f>ORÇAMENTO!D92</f>
        <v>CALHA EM CHAPA DE AÇO GALVANIZADO NÚMERO 24, DESENVOLVIMENTO DE 50 CM, INCLUSO TRANSPORTE VERTICAL. AF_07/2019</v>
      </c>
      <c r="D777" s="392"/>
      <c r="E777" s="392"/>
      <c r="F777" s="392"/>
      <c r="G777" s="392"/>
      <c r="H777" s="392"/>
      <c r="I777" s="392"/>
      <c r="J777" s="392"/>
      <c r="K777" s="392"/>
      <c r="L777" s="392"/>
      <c r="M777" s="47" t="str">
        <f>ORÇAMENTO!E92</f>
        <v>M</v>
      </c>
    </row>
    <row r="778" spans="1:13" s="10" customFormat="1" ht="12.75">
      <c r="A778" s="5"/>
      <c r="M778" s="12"/>
    </row>
    <row r="779" spans="1:13" s="10" customFormat="1" ht="12.75">
      <c r="A779" s="216"/>
      <c r="B779" s="87" t="s">
        <v>505</v>
      </c>
      <c r="D779" s="88" t="s">
        <v>50</v>
      </c>
      <c r="E779" s="89">
        <v>7.33</v>
      </c>
      <c r="F779" s="219"/>
      <c r="G779" s="221"/>
      <c r="J779" s="92"/>
      <c r="K779" s="92"/>
      <c r="L779" s="93" t="s">
        <v>50</v>
      </c>
      <c r="M779" s="13">
        <f>E779</f>
        <v>7.33</v>
      </c>
    </row>
    <row r="780" spans="1:13" s="10" customFormat="1" ht="12.75">
      <c r="A780" s="216"/>
      <c r="B780" s="10" t="s">
        <v>645</v>
      </c>
      <c r="E780" s="99" t="s">
        <v>221</v>
      </c>
      <c r="G780" s="234"/>
      <c r="M780" s="12"/>
    </row>
    <row r="781" spans="1:13" s="79" customFormat="1" ht="12.75">
      <c r="A781" s="216"/>
      <c r="B781" s="100"/>
      <c r="C781" s="81"/>
      <c r="D781" s="100"/>
      <c r="E781" s="81"/>
      <c r="F781" s="100"/>
      <c r="G781" s="235"/>
      <c r="H781" s="100"/>
      <c r="I781" s="81"/>
      <c r="J781" s="10"/>
      <c r="K781" s="10"/>
      <c r="L781" s="101"/>
      <c r="M781" s="80"/>
    </row>
    <row r="782" spans="1:13" s="10" customFormat="1" ht="12.75">
      <c r="A782" s="216"/>
      <c r="B782" s="87" t="s">
        <v>505</v>
      </c>
      <c r="D782" s="88" t="s">
        <v>50</v>
      </c>
      <c r="E782" s="89">
        <v>19.86</v>
      </c>
      <c r="F782" s="219"/>
      <c r="G782" s="221"/>
      <c r="J782" s="92"/>
      <c r="K782" s="92"/>
      <c r="L782" s="93" t="s">
        <v>50</v>
      </c>
      <c r="M782" s="13">
        <f>E782</f>
        <v>19.86</v>
      </c>
    </row>
    <row r="783" spans="1:13" s="10" customFormat="1" ht="12.75">
      <c r="A783" s="216"/>
      <c r="B783" s="10" t="s">
        <v>589</v>
      </c>
      <c r="E783" s="99" t="s">
        <v>221</v>
      </c>
      <c r="G783" s="234"/>
      <c r="M783" s="12"/>
    </row>
    <row r="784" spans="1:13" s="79" customFormat="1" ht="12.75">
      <c r="A784" s="216"/>
      <c r="B784" s="100"/>
      <c r="C784" s="81"/>
      <c r="D784" s="100"/>
      <c r="E784" s="81"/>
      <c r="F784" s="100"/>
      <c r="G784" s="235"/>
      <c r="H784" s="100"/>
      <c r="I784" s="81"/>
      <c r="J784" s="10"/>
      <c r="K784" s="10"/>
      <c r="L784" s="101"/>
      <c r="M784" s="80"/>
    </row>
    <row r="785" spans="1:13" s="10" customFormat="1" ht="12.75">
      <c r="A785" s="216"/>
      <c r="B785" s="87" t="s">
        <v>505</v>
      </c>
      <c r="D785" s="88" t="s">
        <v>50</v>
      </c>
      <c r="E785" s="89">
        <v>10.17</v>
      </c>
      <c r="F785" s="219"/>
      <c r="G785" s="221"/>
      <c r="J785" s="92"/>
      <c r="K785" s="92"/>
      <c r="L785" s="93" t="s">
        <v>50</v>
      </c>
      <c r="M785" s="13">
        <f>E785</f>
        <v>10.17</v>
      </c>
    </row>
    <row r="786" spans="1:13" s="10" customFormat="1" ht="12.75">
      <c r="A786" s="216"/>
      <c r="B786" s="10" t="s">
        <v>577</v>
      </c>
      <c r="E786" s="99" t="s">
        <v>221</v>
      </c>
      <c r="G786" s="234"/>
      <c r="M786" s="12"/>
    </row>
    <row r="787" spans="1:13" s="79" customFormat="1" ht="12.75">
      <c r="A787" s="216"/>
      <c r="B787" s="100"/>
      <c r="C787" s="81"/>
      <c r="D787" s="100"/>
      <c r="E787" s="81"/>
      <c r="F787" s="100"/>
      <c r="G787" s="81"/>
      <c r="H787" s="100"/>
      <c r="I787" s="81"/>
      <c r="J787" s="10"/>
      <c r="K787" s="10"/>
      <c r="L787" s="101"/>
      <c r="M787" s="80"/>
    </row>
    <row r="788" spans="1:13" s="161" customFormat="1" ht="12.75">
      <c r="A788" s="160"/>
      <c r="B788" s="161" t="s">
        <v>10</v>
      </c>
      <c r="I788" s="165" t="s">
        <v>265</v>
      </c>
      <c r="L788" s="162" t="s">
        <v>50</v>
      </c>
      <c r="M788" s="46">
        <f>SUM(M779:M785)</f>
        <v>37.36</v>
      </c>
    </row>
    <row r="789" spans="1:13" s="10" customFormat="1" ht="12.75">
      <c r="A789" s="5"/>
      <c r="F789" s="81"/>
      <c r="L789" s="93"/>
      <c r="M789" s="14"/>
    </row>
    <row r="790" spans="1:13" s="10" customFormat="1" ht="24.95" customHeight="1">
      <c r="A790" s="38" t="str">
        <f>ORÇAMENTO!A93</f>
        <v>7.6</v>
      </c>
      <c r="B790" s="86"/>
      <c r="C790" s="392" t="str">
        <f>ORÇAMENTO!D93</f>
        <v>RUFO E CONTRARRUFO EM CHAPA GALVANIZADA, ESP. 0,65MM (GSG-24), COM DESENVOLVIMENTO DE 25CM, INCLUSIVE IÇAMENTO MANUAL VERTICAL</v>
      </c>
      <c r="D790" s="392"/>
      <c r="E790" s="392"/>
      <c r="F790" s="392"/>
      <c r="G790" s="392"/>
      <c r="H790" s="392"/>
      <c r="I790" s="392"/>
      <c r="J790" s="392"/>
      <c r="K790" s="392"/>
      <c r="L790" s="392"/>
      <c r="M790" s="47" t="str">
        <f>ORÇAMENTO!E93</f>
        <v>M</v>
      </c>
    </row>
    <row r="791" spans="1:13" s="10" customFormat="1" ht="12.75">
      <c r="A791" s="5"/>
      <c r="M791" s="12"/>
    </row>
    <row r="792" spans="1:13" s="10" customFormat="1" ht="12.75">
      <c r="A792" s="216"/>
      <c r="B792" s="87" t="s">
        <v>505</v>
      </c>
      <c r="D792" s="88" t="s">
        <v>50</v>
      </c>
      <c r="E792" s="89">
        <v>16.39</v>
      </c>
      <c r="F792" s="219"/>
      <c r="G792" s="94"/>
      <c r="J792" s="92"/>
      <c r="K792" s="92"/>
      <c r="L792" s="93" t="s">
        <v>50</v>
      </c>
      <c r="M792" s="13">
        <f>E792</f>
        <v>16.39</v>
      </c>
    </row>
    <row r="793" spans="1:13" s="10" customFormat="1" ht="12.75">
      <c r="A793" s="216"/>
      <c r="B793" s="10" t="s">
        <v>645</v>
      </c>
      <c r="E793" s="99" t="s">
        <v>221</v>
      </c>
      <c r="G793" s="99"/>
      <c r="M793" s="12"/>
    </row>
    <row r="794" spans="1:13" s="79" customFormat="1" ht="12.75">
      <c r="A794" s="216"/>
      <c r="B794" s="100"/>
      <c r="C794" s="81"/>
      <c r="D794" s="100"/>
      <c r="E794" s="81"/>
      <c r="F794" s="100"/>
      <c r="G794" s="81"/>
      <c r="H794" s="100"/>
      <c r="I794" s="81"/>
      <c r="J794" s="10"/>
      <c r="K794" s="10"/>
      <c r="L794" s="101"/>
      <c r="M794" s="80"/>
    </row>
    <row r="795" spans="1:13" s="10" customFormat="1" ht="12.75">
      <c r="A795" s="216"/>
      <c r="B795" s="87" t="s">
        <v>505</v>
      </c>
      <c r="D795" s="88" t="s">
        <v>50</v>
      </c>
      <c r="E795" s="89">
        <v>27.763000000000002</v>
      </c>
      <c r="F795" s="219"/>
      <c r="G795" s="94"/>
      <c r="J795" s="92"/>
      <c r="K795" s="92"/>
      <c r="L795" s="93" t="s">
        <v>50</v>
      </c>
      <c r="M795" s="13">
        <f>E795</f>
        <v>27.763000000000002</v>
      </c>
    </row>
    <row r="796" spans="1:13" s="10" customFormat="1" ht="12.75">
      <c r="A796" s="216"/>
      <c r="B796" s="10" t="s">
        <v>589</v>
      </c>
      <c r="E796" s="99" t="s">
        <v>221</v>
      </c>
      <c r="G796" s="99"/>
      <c r="M796" s="12"/>
    </row>
    <row r="797" spans="1:13" s="79" customFormat="1" ht="12.75">
      <c r="A797" s="216"/>
      <c r="B797" s="100"/>
      <c r="C797" s="81"/>
      <c r="D797" s="100"/>
      <c r="E797" s="81"/>
      <c r="F797" s="100"/>
      <c r="G797" s="81"/>
      <c r="H797" s="100"/>
      <c r="I797" s="81"/>
      <c r="J797" s="10"/>
      <c r="K797" s="10"/>
      <c r="L797" s="101"/>
      <c r="M797" s="80"/>
    </row>
    <row r="798" spans="1:13" s="10" customFormat="1" ht="12.75">
      <c r="A798" s="216"/>
      <c r="B798" s="87" t="s">
        <v>505</v>
      </c>
      <c r="D798" s="88" t="s">
        <v>50</v>
      </c>
      <c r="E798" s="89">
        <f>17.95+17.95</f>
        <v>35.9</v>
      </c>
      <c r="F798" s="219"/>
      <c r="G798" s="94"/>
      <c r="J798" s="92"/>
      <c r="K798" s="92"/>
      <c r="L798" s="93" t="s">
        <v>50</v>
      </c>
      <c r="M798" s="13">
        <f>E798</f>
        <v>35.9</v>
      </c>
    </row>
    <row r="799" spans="1:13" s="10" customFormat="1" ht="12.75">
      <c r="A799" s="216"/>
      <c r="B799" s="10" t="s">
        <v>577</v>
      </c>
      <c r="E799" s="99" t="s">
        <v>221</v>
      </c>
      <c r="G799" s="99"/>
      <c r="M799" s="12"/>
    </row>
    <row r="800" spans="1:13" s="79" customFormat="1" ht="12.75">
      <c r="A800" s="216"/>
      <c r="B800" s="100"/>
      <c r="C800" s="81"/>
      <c r="D800" s="100"/>
      <c r="E800" s="81"/>
      <c r="F800" s="100"/>
      <c r="G800" s="81"/>
      <c r="H800" s="100"/>
      <c r="I800" s="81"/>
      <c r="J800" s="10"/>
      <c r="K800" s="10"/>
      <c r="L800" s="101"/>
      <c r="M800" s="80"/>
    </row>
    <row r="801" spans="1:13" s="161" customFormat="1" ht="12.75">
      <c r="A801" s="160"/>
      <c r="B801" s="161" t="s">
        <v>10</v>
      </c>
      <c r="I801" s="165" t="s">
        <v>265</v>
      </c>
      <c r="L801" s="162" t="s">
        <v>50</v>
      </c>
      <c r="M801" s="46">
        <f>SUM(M792:M798)</f>
        <v>80.052999999999997</v>
      </c>
    </row>
    <row r="802" spans="1:13" s="10" customFormat="1" ht="12.75">
      <c r="A802" s="5"/>
      <c r="F802" s="81"/>
      <c r="L802" s="93"/>
      <c r="M802" s="14"/>
    </row>
    <row r="803" spans="1:13" s="10" customFormat="1" ht="15">
      <c r="A803" s="16" t="str">
        <f>ORÇAMENTO!A95</f>
        <v>8.</v>
      </c>
      <c r="B803" s="85"/>
      <c r="C803" s="386" t="str">
        <f>ORÇAMENTO!B95</f>
        <v>INSTALAÇÃO ELÉTRICA</v>
      </c>
      <c r="D803" s="386"/>
      <c r="E803" s="386"/>
      <c r="F803" s="386"/>
      <c r="G803" s="386"/>
      <c r="H803" s="386"/>
      <c r="I803" s="386"/>
      <c r="J803" s="386"/>
      <c r="K803" s="386"/>
      <c r="L803" s="386"/>
      <c r="M803" s="387"/>
    </row>
    <row r="804" spans="1:13" s="10" customFormat="1" ht="15">
      <c r="A804" s="41"/>
      <c r="C804" s="98"/>
      <c r="D804" s="98"/>
      <c r="E804" s="98"/>
      <c r="F804" s="98"/>
      <c r="G804" s="98"/>
      <c r="H804" s="98"/>
      <c r="I804" s="98"/>
      <c r="J804" s="98"/>
      <c r="K804" s="98"/>
      <c r="L804" s="98"/>
      <c r="M804" s="42"/>
    </row>
    <row r="805" spans="1:13" s="10" customFormat="1" ht="15">
      <c r="A805" s="11"/>
      <c r="B805" s="87" t="s">
        <v>563</v>
      </c>
      <c r="C805" s="98"/>
      <c r="D805" s="98"/>
      <c r="E805" s="98"/>
      <c r="F805" s="98"/>
      <c r="G805" s="98"/>
      <c r="H805" s="98"/>
      <c r="I805" s="98"/>
      <c r="J805" s="98"/>
      <c r="K805" s="98"/>
      <c r="L805" s="98"/>
      <c r="M805" s="42"/>
    </row>
    <row r="806" spans="1:13" s="10" customFormat="1" ht="15">
      <c r="A806" s="41"/>
      <c r="C806" s="98"/>
      <c r="D806" s="98"/>
      <c r="E806" s="98"/>
      <c r="F806" s="98"/>
      <c r="G806" s="98"/>
      <c r="H806" s="98"/>
      <c r="I806" s="98"/>
      <c r="J806" s="98"/>
      <c r="K806" s="98"/>
      <c r="L806" s="98"/>
      <c r="M806" s="42"/>
    </row>
    <row r="807" spans="1:13" s="10" customFormat="1" ht="15">
      <c r="A807" s="16" t="str">
        <f>ORÇAMENTO!A129</f>
        <v>9.</v>
      </c>
      <c r="B807" s="85"/>
      <c r="C807" s="384" t="s">
        <v>104</v>
      </c>
      <c r="D807" s="384"/>
      <c r="E807" s="384"/>
      <c r="F807" s="384"/>
      <c r="G807" s="384"/>
      <c r="H807" s="384"/>
      <c r="I807" s="384"/>
      <c r="J807" s="384"/>
      <c r="K807" s="384"/>
      <c r="L807" s="384"/>
      <c r="M807" s="385"/>
    </row>
    <row r="808" spans="1:13" s="10" customFormat="1" ht="15">
      <c r="A808" s="11"/>
      <c r="C808" s="98"/>
      <c r="D808" s="98"/>
      <c r="E808" s="98"/>
      <c r="F808" s="98"/>
      <c r="G808" s="98"/>
      <c r="H808" s="98"/>
      <c r="I808" s="98"/>
      <c r="J808" s="98"/>
      <c r="K808" s="98"/>
      <c r="L808" s="98"/>
      <c r="M808" s="42"/>
    </row>
    <row r="809" spans="1:13" s="10" customFormat="1" ht="15">
      <c r="A809" s="11"/>
      <c r="B809" s="87" t="s">
        <v>220</v>
      </c>
      <c r="F809" s="98"/>
      <c r="G809" s="98"/>
      <c r="H809" s="98"/>
      <c r="I809" s="98"/>
      <c r="J809" s="98"/>
      <c r="K809" s="98"/>
      <c r="L809" s="98"/>
      <c r="M809" s="42"/>
    </row>
    <row r="810" spans="1:13" s="10" customFormat="1" ht="15">
      <c r="A810" s="11"/>
      <c r="B810" s="87"/>
      <c r="F810" s="98"/>
      <c r="G810" s="98"/>
      <c r="H810" s="98"/>
      <c r="I810" s="98"/>
      <c r="J810" s="98"/>
      <c r="K810" s="98"/>
      <c r="L810" s="98"/>
      <c r="M810" s="42"/>
    </row>
    <row r="811" spans="1:13" s="10" customFormat="1" ht="15">
      <c r="A811" s="16" t="str">
        <f>ORÇAMENTO!A130</f>
        <v>9.2</v>
      </c>
      <c r="B811" s="85"/>
      <c r="C811" s="384" t="str">
        <f>ORÇAMENTO!C130</f>
        <v>ÁGUA FRIA</v>
      </c>
      <c r="D811" s="384"/>
      <c r="E811" s="384"/>
      <c r="F811" s="384"/>
      <c r="G811" s="384"/>
      <c r="H811" s="384"/>
      <c r="I811" s="384"/>
      <c r="J811" s="384"/>
      <c r="K811" s="384"/>
      <c r="L811" s="384"/>
      <c r="M811" s="385"/>
    </row>
    <row r="812" spans="1:13" s="10" customFormat="1" ht="12.75">
      <c r="A812" s="11"/>
      <c r="M812" s="12"/>
    </row>
    <row r="813" spans="1:13" s="10" customFormat="1" ht="26.25" customHeight="1">
      <c r="A813" s="106" t="str">
        <f>ORÇAMENTO!A131</f>
        <v>9.2.1</v>
      </c>
      <c r="B813" s="107"/>
      <c r="C813" s="383" t="str">
        <f>ORÇAMENTO!D131</f>
        <v>TANQUE DE LOUÇA BRANCA COM COLUNA, 30L OU EQUIVALENTE, INCLUSO SIFÃO FLEXÍVEL EM PVC, VÁLVULA METÁLICA E TORNEIRA DE METAL CROMADO PADRÃO MÉDIO - FORNECIMENTO E INSTALAÇÃO. AF_01/2020</v>
      </c>
      <c r="D813" s="383"/>
      <c r="E813" s="383"/>
      <c r="F813" s="383"/>
      <c r="G813" s="383"/>
      <c r="H813" s="383"/>
      <c r="I813" s="383"/>
      <c r="J813" s="383"/>
      <c r="K813" s="383"/>
      <c r="L813" s="383"/>
      <c r="M813" s="108" t="str">
        <f>ORÇAMENTO!E131</f>
        <v>UN</v>
      </c>
    </row>
    <row r="814" spans="1:13" s="10" customFormat="1" ht="12.75">
      <c r="A814" s="11"/>
      <c r="M814" s="12"/>
    </row>
    <row r="815" spans="1:13" s="10" customFormat="1" ht="12.75">
      <c r="A815" s="11"/>
      <c r="B815" s="87" t="s">
        <v>645</v>
      </c>
      <c r="D815" s="88" t="s">
        <v>50</v>
      </c>
      <c r="E815" s="89">
        <v>1</v>
      </c>
      <c r="F815" s="238"/>
      <c r="G815" s="91"/>
      <c r="H815" s="238"/>
      <c r="I815" s="91"/>
      <c r="J815" s="92"/>
      <c r="K815" s="92"/>
      <c r="L815" s="93" t="s">
        <v>50</v>
      </c>
      <c r="M815" s="13">
        <f>E815</f>
        <v>1</v>
      </c>
    </row>
    <row r="816" spans="1:13" s="10" customFormat="1" ht="12.75">
      <c r="A816" s="11"/>
      <c r="B816" s="87" t="s">
        <v>200</v>
      </c>
      <c r="E816" s="39" t="s">
        <v>52</v>
      </c>
      <c r="G816" s="39"/>
      <c r="I816" s="39"/>
      <c r="M816" s="12"/>
    </row>
    <row r="817" spans="1:13" s="10" customFormat="1" ht="12.75" customHeight="1">
      <c r="A817" s="11"/>
      <c r="B817" s="87"/>
      <c r="E817" s="39"/>
      <c r="G817" s="39"/>
      <c r="I817" s="39"/>
      <c r="M817" s="12"/>
    </row>
    <row r="818" spans="1:13" s="10" customFormat="1" ht="12.75">
      <c r="A818" s="11"/>
      <c r="B818" s="87" t="s">
        <v>599</v>
      </c>
      <c r="D818" s="88" t="s">
        <v>50</v>
      </c>
      <c r="E818" s="89">
        <v>1</v>
      </c>
      <c r="F818" s="238"/>
      <c r="G818" s="91"/>
      <c r="H818" s="238"/>
      <c r="I818" s="91"/>
      <c r="J818" s="92"/>
      <c r="K818" s="92"/>
      <c r="L818" s="93" t="s">
        <v>50</v>
      </c>
      <c r="M818" s="13">
        <f>E818</f>
        <v>1</v>
      </c>
    </row>
    <row r="819" spans="1:13" s="10" customFormat="1" ht="12.75">
      <c r="A819" s="11"/>
      <c r="B819" s="87" t="s">
        <v>200</v>
      </c>
      <c r="E819" s="39" t="s">
        <v>52</v>
      </c>
      <c r="G819" s="39"/>
      <c r="I819" s="39"/>
      <c r="M819" s="12"/>
    </row>
    <row r="820" spans="1:13" s="10" customFormat="1" ht="12.75" customHeight="1">
      <c r="A820" s="11"/>
      <c r="B820" s="87"/>
      <c r="E820" s="39"/>
      <c r="G820" s="39"/>
      <c r="I820" s="39"/>
      <c r="M820" s="12"/>
    </row>
    <row r="821" spans="1:13" s="161" customFormat="1" ht="12.75">
      <c r="A821" s="163"/>
      <c r="B821" s="166" t="s">
        <v>10</v>
      </c>
      <c r="I821" s="165" t="s">
        <v>265</v>
      </c>
      <c r="L821" s="162" t="s">
        <v>50</v>
      </c>
      <c r="M821" s="46">
        <f>SUM(M815:M818)</f>
        <v>2</v>
      </c>
    </row>
    <row r="822" spans="1:13" s="10" customFormat="1" ht="12.75">
      <c r="A822" s="11"/>
      <c r="M822" s="12"/>
    </row>
    <row r="823" spans="1:13" s="10" customFormat="1" ht="36.75" customHeight="1">
      <c r="A823" s="106" t="str">
        <f>ORÇAMENTO!A132</f>
        <v>9.2.2</v>
      </c>
      <c r="B823" s="107"/>
      <c r="C823" s="383" t="str">
        <f>ORÇAMENTO!D132</f>
        <v>LAVATÓRIO DE CANTO DE LOUÇA BRANCA SEM COLUNA, TAMANHO PEQUENO, INCLUSIVE ACESSÓRIOS DE FIXAÇÃO COM PARAFUSO CASTELO, VÁLVULA DE ESCOAMENTO DE METAL COM ACABAMENTO CROMADO, SIFÃO DE METAL TIPO COPO COM ACABAMENTO CROMADO, E REJUNTAMENTO, EXCLUSIVE TORNEIRA E ENGATE FLEXÍVEL</v>
      </c>
      <c r="D823" s="383"/>
      <c r="E823" s="383"/>
      <c r="F823" s="383"/>
      <c r="G823" s="383"/>
      <c r="H823" s="383"/>
      <c r="I823" s="383"/>
      <c r="J823" s="383"/>
      <c r="K823" s="383"/>
      <c r="L823" s="383"/>
      <c r="M823" s="108" t="str">
        <f>ORÇAMENTO!E132</f>
        <v>UN</v>
      </c>
    </row>
    <row r="824" spans="1:13" s="10" customFormat="1" ht="12.75">
      <c r="A824" s="11"/>
      <c r="M824" s="12"/>
    </row>
    <row r="825" spans="1:13" s="10" customFormat="1" ht="12.75">
      <c r="A825" s="11"/>
      <c r="B825" s="87" t="s">
        <v>804</v>
      </c>
      <c r="D825" s="88" t="s">
        <v>50</v>
      </c>
      <c r="E825" s="89">
        <v>1</v>
      </c>
      <c r="F825" s="238"/>
      <c r="G825" s="91"/>
      <c r="H825" s="238"/>
      <c r="I825" s="91"/>
      <c r="J825" s="92"/>
      <c r="K825" s="92"/>
      <c r="L825" s="93" t="s">
        <v>50</v>
      </c>
      <c r="M825" s="13">
        <f>E825</f>
        <v>1</v>
      </c>
    </row>
    <row r="826" spans="1:13" s="10" customFormat="1" ht="12.75">
      <c r="A826" s="11"/>
      <c r="B826" s="87" t="s">
        <v>805</v>
      </c>
      <c r="E826" s="39" t="s">
        <v>52</v>
      </c>
      <c r="G826" s="39"/>
      <c r="I826" s="39"/>
      <c r="M826" s="12"/>
    </row>
    <row r="827" spans="1:13" s="10" customFormat="1" ht="12.75" customHeight="1">
      <c r="A827" s="11"/>
      <c r="B827" s="87"/>
      <c r="E827" s="39"/>
      <c r="G827" s="39"/>
      <c r="I827" s="39"/>
      <c r="M827" s="12"/>
    </row>
    <row r="828" spans="1:13" s="10" customFormat="1" ht="12.75">
      <c r="A828" s="11"/>
      <c r="B828" s="87" t="s">
        <v>307</v>
      </c>
      <c r="D828" s="88" t="s">
        <v>50</v>
      </c>
      <c r="E828" s="89">
        <v>1</v>
      </c>
      <c r="F828" s="238"/>
      <c r="G828" s="91"/>
      <c r="H828" s="238"/>
      <c r="I828" s="91"/>
      <c r="J828" s="92"/>
      <c r="K828" s="92"/>
      <c r="L828" s="93" t="s">
        <v>50</v>
      </c>
      <c r="M828" s="13">
        <f>E828</f>
        <v>1</v>
      </c>
    </row>
    <row r="829" spans="1:13" s="10" customFormat="1" ht="12.75">
      <c r="A829" s="11"/>
      <c r="B829" s="87" t="s">
        <v>805</v>
      </c>
      <c r="E829" s="39" t="s">
        <v>52</v>
      </c>
      <c r="G829" s="39"/>
      <c r="I829" s="39"/>
      <c r="M829" s="12"/>
    </row>
    <row r="830" spans="1:13" s="10" customFormat="1" ht="12.75" customHeight="1">
      <c r="A830" s="11"/>
      <c r="B830" s="87"/>
      <c r="E830" s="39"/>
      <c r="G830" s="39"/>
      <c r="I830" s="39"/>
      <c r="M830" s="12"/>
    </row>
    <row r="831" spans="1:13" s="161" customFormat="1" ht="12.75">
      <c r="A831" s="163"/>
      <c r="B831" s="166" t="s">
        <v>10</v>
      </c>
      <c r="I831" s="165" t="s">
        <v>265</v>
      </c>
      <c r="L831" s="162" t="s">
        <v>50</v>
      </c>
      <c r="M831" s="46">
        <f>SUM(M825:M828)</f>
        <v>2</v>
      </c>
    </row>
    <row r="832" spans="1:13" s="10" customFormat="1" ht="12.75">
      <c r="A832" s="11"/>
      <c r="M832" s="12"/>
    </row>
    <row r="833" spans="1:13" s="10" customFormat="1" ht="36.75" customHeight="1">
      <c r="A833" s="106" t="str">
        <f>ORÇAMENTO!A133</f>
        <v>9.2.3</v>
      </c>
      <c r="B833" s="107"/>
      <c r="C833" s="383" t="str">
        <f>ORÇAMENTO!D133</f>
        <v>CUBA DE EMBUTIR OVAL EM LOUÇA BRANCA, 35 X 50CM OU EQUIVALENTE, INCLUSO VÁLVULA EM METAL CROMADO E SIFÃO FLEXÍVEL EM PVC - FORNECIMENTO E INSTALAÇÃO. AF_01/2020</v>
      </c>
      <c r="D833" s="383"/>
      <c r="E833" s="383"/>
      <c r="F833" s="383"/>
      <c r="G833" s="383"/>
      <c r="H833" s="383"/>
      <c r="I833" s="383"/>
      <c r="J833" s="383"/>
      <c r="K833" s="383"/>
      <c r="L833" s="383"/>
      <c r="M833" s="108" t="str">
        <f>ORÇAMENTO!E133</f>
        <v>UN</v>
      </c>
    </row>
    <row r="834" spans="1:13" s="10" customFormat="1" ht="12.75">
      <c r="A834" s="11"/>
      <c r="M834" s="12"/>
    </row>
    <row r="835" spans="1:13" s="10" customFormat="1" ht="12.75">
      <c r="A835" s="11"/>
      <c r="B835" s="87" t="s">
        <v>642</v>
      </c>
      <c r="D835" s="88" t="s">
        <v>50</v>
      </c>
      <c r="E835" s="89">
        <v>1</v>
      </c>
      <c r="F835" s="238"/>
      <c r="G835" s="91"/>
      <c r="H835" s="238"/>
      <c r="I835" s="91"/>
      <c r="J835" s="92"/>
      <c r="K835" s="92"/>
      <c r="L835" s="93" t="s">
        <v>50</v>
      </c>
      <c r="M835" s="13">
        <f>E835</f>
        <v>1</v>
      </c>
    </row>
    <row r="836" spans="1:13" s="10" customFormat="1" ht="12.75">
      <c r="A836" s="11"/>
      <c r="B836" s="87" t="s">
        <v>200</v>
      </c>
      <c r="E836" s="39" t="s">
        <v>52</v>
      </c>
      <c r="G836" s="39"/>
      <c r="I836" s="39"/>
      <c r="M836" s="12"/>
    </row>
    <row r="837" spans="1:13" s="10" customFormat="1" ht="12.75" customHeight="1">
      <c r="A837" s="11"/>
      <c r="B837" s="87"/>
      <c r="E837" s="39"/>
      <c r="G837" s="39"/>
      <c r="I837" s="39"/>
      <c r="M837" s="12"/>
    </row>
    <row r="838" spans="1:13" s="161" customFormat="1" ht="12.75">
      <c r="A838" s="163"/>
      <c r="B838" s="166" t="s">
        <v>10</v>
      </c>
      <c r="I838" s="165" t="s">
        <v>265</v>
      </c>
      <c r="L838" s="162" t="s">
        <v>50</v>
      </c>
      <c r="M838" s="46">
        <f>SUM(M835)</f>
        <v>1</v>
      </c>
    </row>
    <row r="839" spans="1:13" s="10" customFormat="1" ht="12.75">
      <c r="A839" s="11"/>
      <c r="M839" s="12"/>
    </row>
    <row r="840" spans="1:13" s="10" customFormat="1" ht="36.75" customHeight="1">
      <c r="A840" s="106" t="str">
        <f>ORÇAMENTO!A134</f>
        <v>9.2.4</v>
      </c>
      <c r="B840" s="107"/>
      <c r="C840" s="383" t="str">
        <f>ORÇAMENTO!D134</f>
        <v xml:space="preserve">TORNEIRA METALICA CROMADA DE MESA, PARA LAVATORIO, TEMPORIZADA PRESSAO FECHAMENTO AUTOMATICO, BICA BAIXA                                                                                                                                                                                                                                                                                                                                                                                                  </v>
      </c>
      <c r="D840" s="383"/>
      <c r="E840" s="383"/>
      <c r="F840" s="383"/>
      <c r="G840" s="383"/>
      <c r="H840" s="383"/>
      <c r="I840" s="383"/>
      <c r="J840" s="383"/>
      <c r="K840" s="383"/>
      <c r="L840" s="383"/>
      <c r="M840" s="108" t="str">
        <f>ORÇAMENTO!E134</f>
        <v>UN</v>
      </c>
    </row>
    <row r="841" spans="1:13" s="10" customFormat="1" ht="12.75">
      <c r="A841" s="11"/>
      <c r="M841" s="12"/>
    </row>
    <row r="842" spans="1:13" s="10" customFormat="1" ht="12.75">
      <c r="A842" s="11"/>
      <c r="B842" s="87" t="s">
        <v>642</v>
      </c>
      <c r="D842" s="88" t="s">
        <v>50</v>
      </c>
      <c r="E842" s="89">
        <v>1</v>
      </c>
      <c r="F842" s="238"/>
      <c r="G842" s="91"/>
      <c r="H842" s="238"/>
      <c r="I842" s="91"/>
      <c r="J842" s="92"/>
      <c r="K842" s="92"/>
      <c r="L842" s="93" t="s">
        <v>50</v>
      </c>
      <c r="M842" s="13">
        <f>E842</f>
        <v>1</v>
      </c>
    </row>
    <row r="843" spans="1:13" s="10" customFormat="1" ht="12.75">
      <c r="A843" s="11"/>
      <c r="B843" s="87" t="s">
        <v>200</v>
      </c>
      <c r="E843" s="39" t="s">
        <v>52</v>
      </c>
      <c r="G843" s="39"/>
      <c r="I843" s="39"/>
      <c r="M843" s="12"/>
    </row>
    <row r="844" spans="1:13" s="10" customFormat="1" ht="12.75" customHeight="1">
      <c r="A844" s="11"/>
      <c r="B844" s="87"/>
      <c r="E844" s="39"/>
      <c r="G844" s="39"/>
      <c r="I844" s="39"/>
      <c r="M844" s="12"/>
    </row>
    <row r="845" spans="1:13" s="10" customFormat="1" ht="12.75">
      <c r="A845" s="11"/>
      <c r="B845" s="87" t="s">
        <v>804</v>
      </c>
      <c r="D845" s="88" t="s">
        <v>50</v>
      </c>
      <c r="E845" s="89">
        <v>1</v>
      </c>
      <c r="F845" s="238"/>
      <c r="G845" s="91"/>
      <c r="H845" s="238"/>
      <c r="I845" s="91"/>
      <c r="J845" s="92"/>
      <c r="K845" s="92"/>
      <c r="L845" s="93" t="s">
        <v>50</v>
      </c>
      <c r="M845" s="13">
        <f>E845</f>
        <v>1</v>
      </c>
    </row>
    <row r="846" spans="1:13" s="10" customFormat="1" ht="12.75">
      <c r="A846" s="11"/>
      <c r="B846" s="87" t="s">
        <v>805</v>
      </c>
      <c r="E846" s="39" t="s">
        <v>52</v>
      </c>
      <c r="G846" s="39"/>
      <c r="I846" s="39"/>
      <c r="M846" s="12"/>
    </row>
    <row r="847" spans="1:13" s="10" customFormat="1" ht="12.75" customHeight="1">
      <c r="A847" s="11"/>
      <c r="B847" s="87"/>
      <c r="E847" s="39"/>
      <c r="G847" s="39"/>
      <c r="I847" s="39"/>
      <c r="M847" s="12"/>
    </row>
    <row r="848" spans="1:13" s="10" customFormat="1" ht="12.75">
      <c r="A848" s="11"/>
      <c r="B848" s="87" t="s">
        <v>307</v>
      </c>
      <c r="D848" s="88" t="s">
        <v>50</v>
      </c>
      <c r="E848" s="89">
        <v>1</v>
      </c>
      <c r="F848" s="238"/>
      <c r="G848" s="91"/>
      <c r="H848" s="238"/>
      <c r="I848" s="91"/>
      <c r="J848" s="92"/>
      <c r="K848" s="92"/>
      <c r="L848" s="93" t="s">
        <v>50</v>
      </c>
      <c r="M848" s="13">
        <f>E848</f>
        <v>1</v>
      </c>
    </row>
    <row r="849" spans="1:13" s="10" customFormat="1" ht="12.75">
      <c r="A849" s="11"/>
      <c r="B849" s="87" t="s">
        <v>805</v>
      </c>
      <c r="E849" s="39" t="s">
        <v>52</v>
      </c>
      <c r="G849" s="39"/>
      <c r="I849" s="39"/>
      <c r="M849" s="12"/>
    </row>
    <row r="850" spans="1:13" s="10" customFormat="1" ht="12.75" customHeight="1">
      <c r="A850" s="11"/>
      <c r="B850" s="87"/>
      <c r="E850" s="39"/>
      <c r="G850" s="39"/>
      <c r="I850" s="39"/>
      <c r="M850" s="12"/>
    </row>
    <row r="851" spans="1:13" s="161" customFormat="1" ht="12.75">
      <c r="A851" s="163"/>
      <c r="B851" s="166" t="s">
        <v>10</v>
      </c>
      <c r="I851" s="165" t="s">
        <v>265</v>
      </c>
      <c r="L851" s="162" t="s">
        <v>50</v>
      </c>
      <c r="M851" s="46">
        <f>SUM(M842:M848)</f>
        <v>3</v>
      </c>
    </row>
    <row r="852" spans="1:13" s="10" customFormat="1" ht="12.75">
      <c r="A852" s="11"/>
      <c r="M852" s="12"/>
    </row>
    <row r="853" spans="1:13" s="10" customFormat="1" ht="36.75" customHeight="1">
      <c r="A853" s="106" t="str">
        <f>ORÇAMENTO!A135</f>
        <v>9.2.5</v>
      </c>
      <c r="B853" s="107"/>
      <c r="C853" s="383" t="str">
        <f>ORÇAMENTO!D135</f>
        <v>BEBEDOURO DE COLUNA/PRESSÃO,TIPO ADULTO COM ACABAMENTO EM PINTURA ELETROSTÁTICA, NA COR BRANCA, PRESSÃO DA REDE MÍNIMA REFERENCIAL DE 6M.C.A, INCLUSIVE ACESSÓRIOS</v>
      </c>
      <c r="D853" s="383"/>
      <c r="E853" s="383"/>
      <c r="F853" s="383"/>
      <c r="G853" s="383"/>
      <c r="H853" s="383"/>
      <c r="I853" s="383"/>
      <c r="J853" s="383"/>
      <c r="K853" s="383"/>
      <c r="L853" s="383"/>
      <c r="M853" s="108" t="str">
        <f>ORÇAMENTO!E135</f>
        <v>UN</v>
      </c>
    </row>
    <row r="854" spans="1:13" s="10" customFormat="1" ht="12.75">
      <c r="A854" s="11"/>
      <c r="M854" s="12"/>
    </row>
    <row r="855" spans="1:13" s="10" customFormat="1" ht="12.75">
      <c r="A855" s="11"/>
      <c r="B855" s="87" t="s">
        <v>200</v>
      </c>
      <c r="D855" s="88" t="s">
        <v>50</v>
      </c>
      <c r="E855" s="89">
        <v>1</v>
      </c>
      <c r="F855" s="238"/>
      <c r="G855" s="91"/>
      <c r="H855" s="238"/>
      <c r="I855" s="91"/>
      <c r="J855" s="92"/>
      <c r="K855" s="92"/>
      <c r="L855" s="93" t="s">
        <v>50</v>
      </c>
      <c r="M855" s="13">
        <f>E855</f>
        <v>1</v>
      </c>
    </row>
    <row r="856" spans="1:13" s="10" customFormat="1" ht="12.75">
      <c r="A856" s="11"/>
      <c r="B856" s="87" t="s">
        <v>805</v>
      </c>
      <c r="E856" s="39" t="s">
        <v>52</v>
      </c>
      <c r="G856" s="39"/>
      <c r="I856" s="39"/>
      <c r="M856" s="12"/>
    </row>
    <row r="857" spans="1:13" s="10" customFormat="1" ht="12.75" customHeight="1">
      <c r="A857" s="11"/>
      <c r="B857" s="87"/>
      <c r="E857" s="39"/>
      <c r="G857" s="39"/>
      <c r="I857" s="39"/>
      <c r="M857" s="12"/>
    </row>
    <row r="858" spans="1:13" s="161" customFormat="1" ht="12.75">
      <c r="A858" s="163"/>
      <c r="B858" s="166" t="s">
        <v>10</v>
      </c>
      <c r="I858" s="165" t="s">
        <v>265</v>
      </c>
      <c r="L858" s="162" t="s">
        <v>50</v>
      </c>
      <c r="M858" s="46">
        <f>SUM(M855:M855)</f>
        <v>1</v>
      </c>
    </row>
    <row r="859" spans="1:13" s="10" customFormat="1" ht="12.75">
      <c r="A859" s="11"/>
      <c r="M859" s="12"/>
    </row>
    <row r="860" spans="1:13" s="10" customFormat="1" ht="36.75" customHeight="1">
      <c r="A860" s="106" t="str">
        <f>ORÇAMENTO!A136</f>
        <v>9.2.6</v>
      </c>
      <c r="B860" s="107"/>
      <c r="C860" s="383" t="str">
        <f>ORÇAMENTO!D136</f>
        <v>CHUVEIRO ELÉTRICO BRANCO, TENSÃO 127V/220V, POTÊNCIA 4600W/5500W, INCLUSIVE BRAÇO/CANO</v>
      </c>
      <c r="D860" s="383"/>
      <c r="E860" s="383"/>
      <c r="F860" s="383"/>
      <c r="G860" s="383"/>
      <c r="H860" s="383"/>
      <c r="I860" s="383"/>
      <c r="J860" s="383"/>
      <c r="K860" s="383"/>
      <c r="L860" s="383"/>
      <c r="M860" s="108" t="str">
        <f>ORÇAMENTO!E136</f>
        <v>UN</v>
      </c>
    </row>
    <row r="861" spans="1:13" s="10" customFormat="1" ht="12.75">
      <c r="A861" s="11"/>
      <c r="M861" s="12"/>
    </row>
    <row r="862" spans="1:13" s="10" customFormat="1" ht="12.75">
      <c r="A862" s="11"/>
      <c r="B862" s="87" t="s">
        <v>642</v>
      </c>
      <c r="D862" s="88" t="s">
        <v>50</v>
      </c>
      <c r="E862" s="89">
        <v>1</v>
      </c>
      <c r="F862" s="238"/>
      <c r="G862" s="91"/>
      <c r="H862" s="238"/>
      <c r="I862" s="91"/>
      <c r="J862" s="92"/>
      <c r="K862" s="92"/>
      <c r="L862" s="93" t="s">
        <v>50</v>
      </c>
      <c r="M862" s="13">
        <f>E862</f>
        <v>1</v>
      </c>
    </row>
    <row r="863" spans="1:13" s="10" customFormat="1" ht="12.75">
      <c r="A863" s="11"/>
      <c r="B863" s="87" t="s">
        <v>200</v>
      </c>
      <c r="E863" s="39" t="s">
        <v>52</v>
      </c>
      <c r="G863" s="39"/>
      <c r="I863" s="39"/>
      <c r="M863" s="12"/>
    </row>
    <row r="864" spans="1:13" s="10" customFormat="1" ht="12.75" customHeight="1">
      <c r="A864" s="11"/>
      <c r="B864" s="87"/>
      <c r="E864" s="39"/>
      <c r="G864" s="39"/>
      <c r="I864" s="39"/>
      <c r="M864" s="12"/>
    </row>
    <row r="865" spans="1:13" s="161" customFormat="1" ht="12.75">
      <c r="A865" s="163"/>
      <c r="B865" s="166" t="s">
        <v>10</v>
      </c>
      <c r="I865" s="165" t="s">
        <v>265</v>
      </c>
      <c r="L865" s="162" t="s">
        <v>50</v>
      </c>
      <c r="M865" s="46">
        <f>SUM(M862:M862)</f>
        <v>1</v>
      </c>
    </row>
    <row r="866" spans="1:13" s="10" customFormat="1" ht="12.75">
      <c r="A866" s="11"/>
      <c r="M866" s="12"/>
    </row>
    <row r="867" spans="1:13" s="10" customFormat="1" ht="36.75" customHeight="1">
      <c r="A867" s="106" t="str">
        <f>ORÇAMENTO!A137</f>
        <v>9.2.7</v>
      </c>
      <c r="B867" s="107"/>
      <c r="C867" s="383" t="str">
        <f>ORÇAMENTO!D137</f>
        <v>DUCHA HIGIÊNICA COM REGISTRO PARA CONTROLE DE FLUXO DE ÁGUA, DIÂMETRO 1/2" (20MM), INCLUSIVE FORNECIMENTO E INSTALAÇÃO</v>
      </c>
      <c r="D867" s="383"/>
      <c r="E867" s="383"/>
      <c r="F867" s="383"/>
      <c r="G867" s="383"/>
      <c r="H867" s="383"/>
      <c r="I867" s="383"/>
      <c r="J867" s="383"/>
      <c r="K867" s="383"/>
      <c r="L867" s="383"/>
      <c r="M867" s="108" t="str">
        <f>ORÇAMENTO!E137</f>
        <v>UN</v>
      </c>
    </row>
    <row r="868" spans="1:13" s="10" customFormat="1" ht="12.75">
      <c r="A868" s="11"/>
      <c r="M868" s="12"/>
    </row>
    <row r="869" spans="1:13" s="10" customFormat="1" ht="12.75">
      <c r="A869" s="11"/>
      <c r="B869" s="87" t="s">
        <v>642</v>
      </c>
      <c r="D869" s="88" t="s">
        <v>50</v>
      </c>
      <c r="E869" s="89">
        <v>1</v>
      </c>
      <c r="F869" s="238"/>
      <c r="G869" s="91"/>
      <c r="H869" s="238"/>
      <c r="I869" s="91"/>
      <c r="J869" s="92"/>
      <c r="K869" s="92"/>
      <c r="L869" s="93" t="s">
        <v>50</v>
      </c>
      <c r="M869" s="13">
        <f>E869</f>
        <v>1</v>
      </c>
    </row>
    <row r="870" spans="1:13" s="10" customFormat="1" ht="12.75">
      <c r="A870" s="11"/>
      <c r="B870" s="87" t="s">
        <v>200</v>
      </c>
      <c r="E870" s="39" t="s">
        <v>52</v>
      </c>
      <c r="G870" s="39"/>
      <c r="I870" s="39"/>
      <c r="M870" s="12"/>
    </row>
    <row r="871" spans="1:13" s="10" customFormat="1" ht="12.75" customHeight="1">
      <c r="A871" s="11"/>
      <c r="B871" s="87"/>
      <c r="E871" s="39"/>
      <c r="G871" s="39"/>
      <c r="I871" s="39"/>
      <c r="M871" s="12"/>
    </row>
    <row r="872" spans="1:13" s="10" customFormat="1" ht="12.75">
      <c r="A872" s="11"/>
      <c r="B872" s="87" t="s">
        <v>804</v>
      </c>
      <c r="D872" s="88" t="s">
        <v>50</v>
      </c>
      <c r="E872" s="89">
        <v>1</v>
      </c>
      <c r="F872" s="238"/>
      <c r="G872" s="91"/>
      <c r="H872" s="238"/>
      <c r="I872" s="91"/>
      <c r="J872" s="92"/>
      <c r="K872" s="92"/>
      <c r="L872" s="93" t="s">
        <v>50</v>
      </c>
      <c r="M872" s="13">
        <f>E872</f>
        <v>1</v>
      </c>
    </row>
    <row r="873" spans="1:13" s="10" customFormat="1" ht="12.75">
      <c r="A873" s="11"/>
      <c r="B873" s="87" t="s">
        <v>200</v>
      </c>
      <c r="E873" s="39" t="s">
        <v>52</v>
      </c>
      <c r="G873" s="39"/>
      <c r="I873" s="39"/>
      <c r="M873" s="12"/>
    </row>
    <row r="874" spans="1:13" s="10" customFormat="1" ht="12.75" customHeight="1">
      <c r="A874" s="11"/>
      <c r="B874" s="87"/>
      <c r="E874" s="39"/>
      <c r="G874" s="39"/>
      <c r="I874" s="39"/>
      <c r="M874" s="12"/>
    </row>
    <row r="875" spans="1:13" s="10" customFormat="1" ht="12.75">
      <c r="A875" s="11"/>
      <c r="B875" s="87" t="s">
        <v>307</v>
      </c>
      <c r="D875" s="88" t="s">
        <v>50</v>
      </c>
      <c r="E875" s="89">
        <v>1</v>
      </c>
      <c r="F875" s="238"/>
      <c r="G875" s="91"/>
      <c r="H875" s="238"/>
      <c r="I875" s="91"/>
      <c r="J875" s="92"/>
      <c r="K875" s="92"/>
      <c r="L875" s="93" t="s">
        <v>50</v>
      </c>
      <c r="M875" s="13">
        <f>E875</f>
        <v>1</v>
      </c>
    </row>
    <row r="876" spans="1:13" s="10" customFormat="1" ht="12.75">
      <c r="A876" s="11"/>
      <c r="B876" s="87" t="s">
        <v>200</v>
      </c>
      <c r="E876" s="39" t="s">
        <v>52</v>
      </c>
      <c r="G876" s="39"/>
      <c r="I876" s="39"/>
      <c r="M876" s="12"/>
    </row>
    <row r="877" spans="1:13" s="10" customFormat="1" ht="12.75" customHeight="1">
      <c r="A877" s="11"/>
      <c r="B877" s="87"/>
      <c r="E877" s="39"/>
      <c r="G877" s="39"/>
      <c r="I877" s="39"/>
      <c r="M877" s="12"/>
    </row>
    <row r="878" spans="1:13" s="10" customFormat="1" ht="12.75" customHeight="1">
      <c r="A878" s="11"/>
      <c r="B878" s="87"/>
      <c r="E878" s="39"/>
      <c r="G878" s="39"/>
      <c r="I878" s="39"/>
      <c r="M878" s="12"/>
    </row>
    <row r="879" spans="1:13" s="161" customFormat="1" ht="12.75">
      <c r="A879" s="163"/>
      <c r="B879" s="166" t="s">
        <v>10</v>
      </c>
      <c r="I879" s="165" t="s">
        <v>265</v>
      </c>
      <c r="L879" s="162" t="s">
        <v>50</v>
      </c>
      <c r="M879" s="46">
        <f>SUM(M869:M875)</f>
        <v>3</v>
      </c>
    </row>
    <row r="880" spans="1:13" s="10" customFormat="1" ht="12.75">
      <c r="A880" s="11"/>
      <c r="M880" s="12"/>
    </row>
    <row r="881" spans="1:13" s="10" customFormat="1" ht="36.75" customHeight="1">
      <c r="A881" s="106" t="str">
        <f>ORÇAMENTO!A138</f>
        <v>9.2.8</v>
      </c>
      <c r="B881" s="107"/>
      <c r="C881" s="383" t="str">
        <f>ORÇAMENTO!D138</f>
        <v>BACIA SANITÁRIA (VASO) DE LOUÇA COM CAIXA ACOPLADA, COR BRANCA, INCLUSIVE ACESSÓRIOS DE FIXAÇÃO/VEDAÇÃO, ENGATE FLEXÍVEL METÁLICO E REJUNTAMENTO, EXCLUSIVE ASSENTO</v>
      </c>
      <c r="D881" s="383"/>
      <c r="E881" s="383"/>
      <c r="F881" s="383"/>
      <c r="G881" s="383"/>
      <c r="H881" s="383"/>
      <c r="I881" s="383"/>
      <c r="J881" s="383"/>
      <c r="K881" s="383"/>
      <c r="L881" s="383"/>
      <c r="M881" s="108" t="str">
        <f>ORÇAMENTO!E138</f>
        <v>UN</v>
      </c>
    </row>
    <row r="882" spans="1:13" s="10" customFormat="1" ht="12.75">
      <c r="A882" s="11"/>
      <c r="M882" s="12"/>
    </row>
    <row r="883" spans="1:13" s="10" customFormat="1" ht="12.75">
      <c r="A883" s="11"/>
      <c r="B883" s="87" t="s">
        <v>642</v>
      </c>
      <c r="D883" s="88" t="s">
        <v>50</v>
      </c>
      <c r="E883" s="89">
        <v>1</v>
      </c>
      <c r="F883" s="238"/>
      <c r="G883" s="91"/>
      <c r="H883" s="238"/>
      <c r="I883" s="91"/>
      <c r="J883" s="92"/>
      <c r="K883" s="92"/>
      <c r="L883" s="93" t="s">
        <v>50</v>
      </c>
      <c r="M883" s="13">
        <f>E883</f>
        <v>1</v>
      </c>
    </row>
    <row r="884" spans="1:13" s="10" customFormat="1" ht="12.75">
      <c r="A884" s="11"/>
      <c r="B884" s="87" t="s">
        <v>200</v>
      </c>
      <c r="E884" s="39" t="s">
        <v>52</v>
      </c>
      <c r="G884" s="39"/>
      <c r="I884" s="39"/>
      <c r="M884" s="12"/>
    </row>
    <row r="885" spans="1:13" s="10" customFormat="1" ht="12.75" customHeight="1">
      <c r="A885" s="11"/>
      <c r="B885" s="87"/>
      <c r="E885" s="39"/>
      <c r="G885" s="39"/>
      <c r="I885" s="39"/>
      <c r="M885" s="12"/>
    </row>
    <row r="886" spans="1:13" s="10" customFormat="1" ht="12.75">
      <c r="A886" s="11"/>
      <c r="B886" s="87" t="s">
        <v>804</v>
      </c>
      <c r="D886" s="88" t="s">
        <v>50</v>
      </c>
      <c r="E886" s="89">
        <v>1</v>
      </c>
      <c r="F886" s="238"/>
      <c r="G886" s="91"/>
      <c r="H886" s="238"/>
      <c r="I886" s="91"/>
      <c r="J886" s="92"/>
      <c r="K886" s="92"/>
      <c r="L886" s="93" t="s">
        <v>50</v>
      </c>
      <c r="M886" s="13">
        <f>E886</f>
        <v>1</v>
      </c>
    </row>
    <row r="887" spans="1:13" s="10" customFormat="1" ht="12.75">
      <c r="A887" s="11"/>
      <c r="B887" s="87" t="s">
        <v>200</v>
      </c>
      <c r="E887" s="39" t="s">
        <v>52</v>
      </c>
      <c r="G887" s="39"/>
      <c r="I887" s="39"/>
      <c r="M887" s="12"/>
    </row>
    <row r="888" spans="1:13" s="10" customFormat="1" ht="12.75" customHeight="1">
      <c r="A888" s="11"/>
      <c r="B888" s="87"/>
      <c r="E888" s="39"/>
      <c r="G888" s="39"/>
      <c r="I888" s="39"/>
      <c r="M888" s="12"/>
    </row>
    <row r="889" spans="1:13" s="10" customFormat="1" ht="12.75">
      <c r="A889" s="11"/>
      <c r="B889" s="87" t="s">
        <v>307</v>
      </c>
      <c r="D889" s="88" t="s">
        <v>50</v>
      </c>
      <c r="E889" s="89">
        <v>1</v>
      </c>
      <c r="F889" s="238"/>
      <c r="G889" s="91"/>
      <c r="H889" s="238"/>
      <c r="I889" s="91"/>
      <c r="J889" s="92"/>
      <c r="K889" s="92"/>
      <c r="L889" s="93" t="s">
        <v>50</v>
      </c>
      <c r="M889" s="13">
        <f>E889</f>
        <v>1</v>
      </c>
    </row>
    <row r="890" spans="1:13" s="10" customFormat="1" ht="12.75">
      <c r="A890" s="11"/>
      <c r="B890" s="87" t="s">
        <v>200</v>
      </c>
      <c r="E890" s="39" t="s">
        <v>52</v>
      </c>
      <c r="G890" s="39"/>
      <c r="I890" s="39"/>
      <c r="M890" s="12"/>
    </row>
    <row r="891" spans="1:13" s="10" customFormat="1" ht="12.75" customHeight="1">
      <c r="A891" s="11"/>
      <c r="B891" s="87"/>
      <c r="E891" s="39"/>
      <c r="G891" s="39"/>
      <c r="I891" s="39"/>
      <c r="M891" s="12"/>
    </row>
    <row r="892" spans="1:13" s="161" customFormat="1" ht="12.75">
      <c r="A892" s="163"/>
      <c r="B892" s="166" t="s">
        <v>10</v>
      </c>
      <c r="I892" s="165" t="s">
        <v>265</v>
      </c>
      <c r="L892" s="162" t="s">
        <v>50</v>
      </c>
      <c r="M892" s="46">
        <f>SUM(M883:M889)</f>
        <v>3</v>
      </c>
    </row>
    <row r="893" spans="1:13" s="10" customFormat="1" ht="12.75">
      <c r="A893" s="11"/>
      <c r="M893" s="12"/>
    </row>
    <row r="894" spans="1:13" s="10" customFormat="1" ht="26.25" customHeight="1">
      <c r="A894" s="106" t="str">
        <f>ORÇAMENTO!A139</f>
        <v>9.2.9</v>
      </c>
      <c r="B894" s="107"/>
      <c r="C894" s="383" t="str">
        <f>ORÇAMENTO!D139</f>
        <v>ASSENTO PLÁSTICO PARA BACIA SANITÁRIA, NA COR BRANCA, PADRÃO POPULAR, INCLUSIVE ACESSÓRIOS PARA FIXAÇÃO</v>
      </c>
      <c r="D894" s="383"/>
      <c r="E894" s="383"/>
      <c r="F894" s="383"/>
      <c r="G894" s="383"/>
      <c r="H894" s="383"/>
      <c r="I894" s="383"/>
      <c r="J894" s="383"/>
      <c r="K894" s="383"/>
      <c r="L894" s="383"/>
      <c r="M894" s="108" t="str">
        <f>ORÇAMENTO!E139</f>
        <v>UN</v>
      </c>
    </row>
    <row r="895" spans="1:13" s="10" customFormat="1" ht="12.75">
      <c r="A895" s="11"/>
      <c r="M895" s="12"/>
    </row>
    <row r="896" spans="1:13" s="10" customFormat="1" ht="12.75">
      <c r="A896" s="11"/>
      <c r="B896" s="87" t="s">
        <v>642</v>
      </c>
      <c r="D896" s="88" t="s">
        <v>50</v>
      </c>
      <c r="E896" s="89">
        <v>1</v>
      </c>
      <c r="F896" s="238"/>
      <c r="G896" s="91"/>
      <c r="H896" s="238"/>
      <c r="I896" s="91"/>
      <c r="J896" s="92"/>
      <c r="K896" s="92"/>
      <c r="L896" s="93" t="s">
        <v>50</v>
      </c>
      <c r="M896" s="13">
        <f>E896</f>
        <v>1</v>
      </c>
    </row>
    <row r="897" spans="1:13" s="10" customFormat="1" ht="12.75">
      <c r="A897" s="11"/>
      <c r="B897" s="87" t="s">
        <v>200</v>
      </c>
      <c r="E897" s="39" t="s">
        <v>52</v>
      </c>
      <c r="G897" s="39"/>
      <c r="I897" s="39"/>
      <c r="M897" s="12"/>
    </row>
    <row r="898" spans="1:13" s="10" customFormat="1" ht="12.75" customHeight="1">
      <c r="A898" s="11"/>
      <c r="B898" s="87"/>
      <c r="E898" s="39"/>
      <c r="G898" s="39"/>
      <c r="I898" s="39"/>
      <c r="M898" s="12"/>
    </row>
    <row r="899" spans="1:13" s="10" customFormat="1" ht="12.75">
      <c r="A899" s="11"/>
      <c r="B899" s="87" t="s">
        <v>804</v>
      </c>
      <c r="D899" s="88" t="s">
        <v>50</v>
      </c>
      <c r="E899" s="89">
        <v>1</v>
      </c>
      <c r="F899" s="238"/>
      <c r="G899" s="91"/>
      <c r="H899" s="238"/>
      <c r="I899" s="91"/>
      <c r="J899" s="92"/>
      <c r="K899" s="92"/>
      <c r="L899" s="93" t="s">
        <v>50</v>
      </c>
      <c r="M899" s="13">
        <f>E899</f>
        <v>1</v>
      </c>
    </row>
    <row r="900" spans="1:13" s="10" customFormat="1" ht="12.75">
      <c r="A900" s="11"/>
      <c r="B900" s="87" t="s">
        <v>200</v>
      </c>
      <c r="E900" s="39" t="s">
        <v>52</v>
      </c>
      <c r="G900" s="39"/>
      <c r="I900" s="39"/>
      <c r="M900" s="12"/>
    </row>
    <row r="901" spans="1:13" s="10" customFormat="1" ht="12.75" customHeight="1">
      <c r="A901" s="11"/>
      <c r="B901" s="87"/>
      <c r="E901" s="39"/>
      <c r="G901" s="39"/>
      <c r="I901" s="39"/>
      <c r="M901" s="12"/>
    </row>
    <row r="902" spans="1:13" s="10" customFormat="1" ht="12.75">
      <c r="A902" s="11"/>
      <c r="B902" s="87" t="s">
        <v>307</v>
      </c>
      <c r="D902" s="88" t="s">
        <v>50</v>
      </c>
      <c r="E902" s="89">
        <v>1</v>
      </c>
      <c r="F902" s="238"/>
      <c r="G902" s="91"/>
      <c r="H902" s="238"/>
      <c r="I902" s="91"/>
      <c r="J902" s="92"/>
      <c r="K902" s="92"/>
      <c r="L902" s="93" t="s">
        <v>50</v>
      </c>
      <c r="M902" s="13">
        <f>E902</f>
        <v>1</v>
      </c>
    </row>
    <row r="903" spans="1:13" s="10" customFormat="1" ht="12.75">
      <c r="A903" s="11"/>
      <c r="B903" s="87" t="s">
        <v>200</v>
      </c>
      <c r="E903" s="39" t="s">
        <v>52</v>
      </c>
      <c r="G903" s="39"/>
      <c r="I903" s="39"/>
      <c r="M903" s="12"/>
    </row>
    <row r="904" spans="1:13" s="10" customFormat="1" ht="12.75" customHeight="1">
      <c r="A904" s="11"/>
      <c r="B904" s="87"/>
      <c r="E904" s="39"/>
      <c r="G904" s="39"/>
      <c r="I904" s="39"/>
      <c r="M904" s="12"/>
    </row>
    <row r="905" spans="1:13" s="161" customFormat="1" ht="12.75">
      <c r="A905" s="163"/>
      <c r="B905" s="161" t="s">
        <v>10</v>
      </c>
      <c r="I905" s="165" t="s">
        <v>265</v>
      </c>
      <c r="L905" s="162" t="s">
        <v>50</v>
      </c>
      <c r="M905" s="46">
        <f>SUM(M896:M902)</f>
        <v>3</v>
      </c>
    </row>
    <row r="906" spans="1:13" s="10" customFormat="1" ht="12.75">
      <c r="A906" s="11"/>
      <c r="M906" s="12"/>
    </row>
    <row r="907" spans="1:13" s="10" customFormat="1" ht="15">
      <c r="A907" s="16" t="str">
        <f>ORÇAMENTO!A167</f>
        <v>10.</v>
      </c>
      <c r="B907" s="85"/>
      <c r="C907" s="386" t="str">
        <f>ORÇAMENTO!B167</f>
        <v>IMPERMEABILIZAÇÕES</v>
      </c>
      <c r="D907" s="386"/>
      <c r="E907" s="386"/>
      <c r="F907" s="386"/>
      <c r="G907" s="386"/>
      <c r="H907" s="386"/>
      <c r="I907" s="386"/>
      <c r="J907" s="386"/>
      <c r="K907" s="386"/>
      <c r="L907" s="386"/>
      <c r="M907" s="387"/>
    </row>
    <row r="908" spans="1:13" s="10" customFormat="1" ht="15">
      <c r="A908" s="41"/>
      <c r="C908" s="186"/>
      <c r="D908" s="186"/>
      <c r="E908" s="186"/>
      <c r="F908" s="186"/>
      <c r="G908" s="186"/>
      <c r="H908" s="186"/>
      <c r="I908" s="186"/>
      <c r="J908" s="186"/>
      <c r="K908" s="186"/>
      <c r="L908" s="186"/>
      <c r="M908" s="187"/>
    </row>
    <row r="909" spans="1:13" s="10" customFormat="1" ht="26.25" customHeight="1">
      <c r="A909" s="106" t="str">
        <f>ORÇAMENTO!A168</f>
        <v>10.1</v>
      </c>
      <c r="B909" s="107"/>
      <c r="C909" s="383" t="str">
        <f>ORÇAMENTO!D168</f>
        <v>PINTURA COM EMULSÃO ASFÁLTICA, DUAS (2) DEMÃOS</v>
      </c>
      <c r="D909" s="383"/>
      <c r="E909" s="383"/>
      <c r="F909" s="383"/>
      <c r="G909" s="383"/>
      <c r="H909" s="383"/>
      <c r="I909" s="383"/>
      <c r="J909" s="383"/>
      <c r="K909" s="383"/>
      <c r="L909" s="383"/>
      <c r="M909" s="108" t="str">
        <f>ORÇAMENTO!E168</f>
        <v>M2</v>
      </c>
    </row>
    <row r="910" spans="1:13" s="10" customFormat="1" ht="12.75">
      <c r="A910" s="5"/>
      <c r="M910" s="12"/>
    </row>
    <row r="911" spans="1:13" s="10" customFormat="1">
      <c r="A911" s="236"/>
      <c r="B911" s="10" t="s">
        <v>546</v>
      </c>
      <c r="D911" s="88" t="s">
        <v>50</v>
      </c>
      <c r="E911" s="89">
        <v>1.615</v>
      </c>
      <c r="F911" s="95" t="s">
        <v>69</v>
      </c>
      <c r="G911" s="89">
        <v>2</v>
      </c>
      <c r="I911" s="165" t="s">
        <v>545</v>
      </c>
      <c r="J911" s="92"/>
      <c r="K911" s="92"/>
      <c r="L911" s="93" t="s">
        <v>50</v>
      </c>
      <c r="M911" s="13">
        <f>E911*G911</f>
        <v>3.23</v>
      </c>
    </row>
    <row r="912" spans="1:13" s="10" customFormat="1">
      <c r="A912" s="236"/>
      <c r="B912" s="10" t="s">
        <v>615</v>
      </c>
      <c r="E912" s="99" t="s">
        <v>490</v>
      </c>
      <c r="F912" s="6"/>
      <c r="G912" s="99" t="s">
        <v>380</v>
      </c>
      <c r="I912" s="10" t="s">
        <v>149</v>
      </c>
      <c r="M912" s="12"/>
    </row>
    <row r="913" spans="1:13" s="10" customFormat="1">
      <c r="A913" s="236"/>
      <c r="E913" s="99"/>
      <c r="F913" s="6"/>
      <c r="M913" s="12"/>
    </row>
    <row r="914" spans="1:13" s="10" customFormat="1">
      <c r="A914" s="236"/>
      <c r="B914" s="10" t="s">
        <v>547</v>
      </c>
      <c r="D914" s="88" t="s">
        <v>50</v>
      </c>
      <c r="E914" s="89">
        <v>1.615</v>
      </c>
      <c r="F914" s="95" t="s">
        <v>69</v>
      </c>
      <c r="G914" s="89">
        <v>4</v>
      </c>
      <c r="I914" s="165" t="s">
        <v>545</v>
      </c>
      <c r="J914" s="92"/>
      <c r="K914" s="92"/>
      <c r="L914" s="93" t="s">
        <v>50</v>
      </c>
      <c r="M914" s="13">
        <f>E914*G914</f>
        <v>6.46</v>
      </c>
    </row>
    <row r="915" spans="1:13" s="10" customFormat="1">
      <c r="A915" s="236"/>
      <c r="B915" s="10" t="s">
        <v>615</v>
      </c>
      <c r="E915" s="99" t="s">
        <v>490</v>
      </c>
      <c r="F915" s="6"/>
      <c r="G915" s="99" t="s">
        <v>380</v>
      </c>
      <c r="I915" s="10" t="s">
        <v>149</v>
      </c>
      <c r="M915" s="12"/>
    </row>
    <row r="916" spans="1:13" s="10" customFormat="1">
      <c r="A916" s="236"/>
      <c r="E916" s="99"/>
      <c r="F916" s="6"/>
      <c r="M916" s="12"/>
    </row>
    <row r="917" spans="1:13" s="10" customFormat="1">
      <c r="A917" s="236"/>
      <c r="B917" s="10" t="s">
        <v>547</v>
      </c>
      <c r="D917" s="88" t="s">
        <v>50</v>
      </c>
      <c r="E917" s="89">
        <v>1.615</v>
      </c>
      <c r="F917" s="95" t="s">
        <v>69</v>
      </c>
      <c r="G917" s="89">
        <v>8</v>
      </c>
      <c r="I917" s="161" t="s">
        <v>629</v>
      </c>
      <c r="J917" s="92"/>
      <c r="K917" s="92"/>
      <c r="L917" s="93" t="s">
        <v>50</v>
      </c>
      <c r="M917" s="13">
        <f>E917*G917</f>
        <v>12.92</v>
      </c>
    </row>
    <row r="918" spans="1:13" s="10" customFormat="1">
      <c r="A918" s="236"/>
      <c r="B918" s="10" t="s">
        <v>616</v>
      </c>
      <c r="E918" s="99" t="s">
        <v>490</v>
      </c>
      <c r="F918" s="6"/>
      <c r="G918" s="99" t="s">
        <v>380</v>
      </c>
      <c r="I918" s="10" t="s">
        <v>149</v>
      </c>
      <c r="M918" s="12"/>
    </row>
    <row r="919" spans="1:13" s="10" customFormat="1">
      <c r="A919" s="236"/>
      <c r="E919" s="99"/>
      <c r="F919" s="6"/>
      <c r="M919" s="12"/>
    </row>
    <row r="920" spans="1:13" s="10" customFormat="1">
      <c r="A920" s="236"/>
      <c r="B920" s="10" t="s">
        <v>619</v>
      </c>
      <c r="D920" s="88" t="s">
        <v>50</v>
      </c>
      <c r="E920" s="89">
        <v>2.3275000000000001</v>
      </c>
      <c r="F920" s="95" t="s">
        <v>69</v>
      </c>
      <c r="G920" s="89">
        <v>1</v>
      </c>
      <c r="I920" s="165" t="s">
        <v>545</v>
      </c>
      <c r="J920" s="92"/>
      <c r="K920" s="92"/>
      <c r="L920" s="93" t="s">
        <v>50</v>
      </c>
      <c r="M920" s="13">
        <f>E920*G920</f>
        <v>2.3275000000000001</v>
      </c>
    </row>
    <row r="921" spans="1:13" s="10" customFormat="1">
      <c r="A921" s="236"/>
      <c r="B921" s="10" t="s">
        <v>615</v>
      </c>
      <c r="E921" s="99" t="s">
        <v>490</v>
      </c>
      <c r="F921" s="6"/>
      <c r="G921" s="99" t="s">
        <v>380</v>
      </c>
      <c r="I921" s="10" t="s">
        <v>149</v>
      </c>
      <c r="M921" s="12"/>
    </row>
    <row r="922" spans="1:13" s="10" customFormat="1">
      <c r="A922" s="236"/>
      <c r="E922" s="99"/>
      <c r="F922" s="6"/>
      <c r="M922" s="12"/>
    </row>
    <row r="923" spans="1:13" s="10" customFormat="1">
      <c r="A923" s="236"/>
      <c r="B923" s="10" t="s">
        <v>620</v>
      </c>
      <c r="D923" s="88" t="s">
        <v>50</v>
      </c>
      <c r="E923" s="89">
        <v>2.0939000000000001</v>
      </c>
      <c r="F923" s="95" t="s">
        <v>69</v>
      </c>
      <c r="G923" s="89">
        <v>1</v>
      </c>
      <c r="I923" s="161" t="s">
        <v>629</v>
      </c>
      <c r="J923" s="92"/>
      <c r="K923" s="92"/>
      <c r="L923" s="93" t="s">
        <v>50</v>
      </c>
      <c r="M923" s="13">
        <f>E923*G923</f>
        <v>2.0939000000000001</v>
      </c>
    </row>
    <row r="924" spans="1:13" s="10" customFormat="1">
      <c r="A924" s="236"/>
      <c r="B924" s="10" t="s">
        <v>616</v>
      </c>
      <c r="E924" s="99" t="s">
        <v>490</v>
      </c>
      <c r="F924" s="6"/>
      <c r="G924" s="99" t="s">
        <v>380</v>
      </c>
      <c r="I924" s="10" t="s">
        <v>149</v>
      </c>
      <c r="M924" s="12"/>
    </row>
    <row r="925" spans="1:13" s="10" customFormat="1">
      <c r="A925" s="236"/>
      <c r="E925" s="99"/>
      <c r="F925" s="6"/>
      <c r="M925" s="12"/>
    </row>
    <row r="926" spans="1:13" s="10" customFormat="1">
      <c r="A926" s="236"/>
      <c r="B926" s="10" t="s">
        <v>617</v>
      </c>
      <c r="D926" s="88" t="s">
        <v>50</v>
      </c>
      <c r="E926" s="89">
        <v>0.90249999999999997</v>
      </c>
      <c r="F926" s="95" t="s">
        <v>69</v>
      </c>
      <c r="G926" s="89">
        <v>4</v>
      </c>
      <c r="I926" s="161" t="s">
        <v>629</v>
      </c>
      <c r="J926" s="92"/>
      <c r="K926" s="92"/>
      <c r="L926" s="93" t="s">
        <v>50</v>
      </c>
      <c r="M926" s="13">
        <f>E926*G926</f>
        <v>3.61</v>
      </c>
    </row>
    <row r="927" spans="1:13" s="10" customFormat="1">
      <c r="A927" s="236"/>
      <c r="B927" s="10" t="s">
        <v>616</v>
      </c>
      <c r="E927" s="99" t="s">
        <v>490</v>
      </c>
      <c r="F927" s="6"/>
      <c r="G927" s="99" t="s">
        <v>380</v>
      </c>
      <c r="I927" s="10" t="s">
        <v>149</v>
      </c>
      <c r="M927" s="12"/>
    </row>
    <row r="928" spans="1:13" s="10" customFormat="1">
      <c r="A928" s="236"/>
      <c r="E928" s="99"/>
      <c r="F928" s="6"/>
      <c r="M928" s="12"/>
    </row>
    <row r="929" spans="1:13" s="10" customFormat="1">
      <c r="A929" s="236"/>
      <c r="B929" s="10" t="s">
        <v>550</v>
      </c>
      <c r="D929" s="88" t="s">
        <v>50</v>
      </c>
      <c r="E929" s="89">
        <v>0.90249999999999997</v>
      </c>
      <c r="F929" s="95" t="s">
        <v>69</v>
      </c>
      <c r="G929" s="89">
        <v>1</v>
      </c>
      <c r="I929" s="165" t="s">
        <v>545</v>
      </c>
      <c r="J929" s="92"/>
      <c r="K929" s="92"/>
      <c r="L929" s="93" t="s">
        <v>50</v>
      </c>
      <c r="M929" s="13">
        <f>E929*G929</f>
        <v>0.90249999999999997</v>
      </c>
    </row>
    <row r="930" spans="1:13" s="10" customFormat="1">
      <c r="A930" s="236"/>
      <c r="B930" s="10" t="s">
        <v>615</v>
      </c>
      <c r="E930" s="99" t="s">
        <v>490</v>
      </c>
      <c r="F930" s="6"/>
      <c r="G930" s="99" t="s">
        <v>380</v>
      </c>
      <c r="I930" s="10" t="s">
        <v>149</v>
      </c>
      <c r="M930" s="12"/>
    </row>
    <row r="931" spans="1:13" s="10" customFormat="1">
      <c r="A931" s="236"/>
      <c r="E931" s="99"/>
      <c r="F931" s="6"/>
      <c r="M931" s="12"/>
    </row>
    <row r="932" spans="1:13" s="10" customFormat="1">
      <c r="A932" s="236"/>
      <c r="B932" s="10" t="s">
        <v>550</v>
      </c>
      <c r="D932" s="88" t="s">
        <v>50</v>
      </c>
      <c r="E932" s="89">
        <v>0.90249999999999997</v>
      </c>
      <c r="F932" s="95" t="s">
        <v>69</v>
      </c>
      <c r="G932" s="89">
        <v>8</v>
      </c>
      <c r="I932" s="161" t="s">
        <v>629</v>
      </c>
      <c r="J932" s="92"/>
      <c r="K932" s="92"/>
      <c r="L932" s="93" t="s">
        <v>50</v>
      </c>
      <c r="M932" s="13">
        <f>E932*G932</f>
        <v>7.22</v>
      </c>
    </row>
    <row r="933" spans="1:13" s="10" customFormat="1">
      <c r="A933" s="236"/>
      <c r="B933" s="10" t="s">
        <v>616</v>
      </c>
      <c r="E933" s="99" t="s">
        <v>490</v>
      </c>
      <c r="F933" s="6"/>
      <c r="G933" s="99" t="s">
        <v>380</v>
      </c>
      <c r="I933" s="10" t="s">
        <v>149</v>
      </c>
      <c r="M933" s="12"/>
    </row>
    <row r="934" spans="1:13" s="10" customFormat="1">
      <c r="A934" s="236"/>
      <c r="E934" s="99"/>
      <c r="F934" s="6"/>
      <c r="M934" s="12"/>
    </row>
    <row r="935" spans="1:13" s="10" customFormat="1">
      <c r="A935" s="236"/>
      <c r="B935" s="10" t="s">
        <v>191</v>
      </c>
      <c r="D935" s="88" t="s">
        <v>50</v>
      </c>
      <c r="E935" s="89">
        <f>28.3098+4.8099</f>
        <v>33.119700000000002</v>
      </c>
      <c r="F935" s="95" t="s">
        <v>69</v>
      </c>
      <c r="G935" s="89">
        <f>0.2+0.2+0.2</f>
        <v>0.60000000000000009</v>
      </c>
      <c r="I935" s="161" t="s">
        <v>545</v>
      </c>
      <c r="J935" s="92"/>
      <c r="K935" s="92"/>
      <c r="L935" s="93" t="s">
        <v>50</v>
      </c>
      <c r="M935" s="13">
        <f>E935*G935</f>
        <v>19.871820000000003</v>
      </c>
    </row>
    <row r="936" spans="1:13" s="10" customFormat="1">
      <c r="A936" s="236"/>
      <c r="B936" s="10" t="s">
        <v>615</v>
      </c>
      <c r="E936" s="99" t="s">
        <v>120</v>
      </c>
      <c r="F936" s="6"/>
      <c r="G936" s="99" t="s">
        <v>381</v>
      </c>
      <c r="I936" s="10" t="s">
        <v>149</v>
      </c>
      <c r="M936" s="12"/>
    </row>
    <row r="937" spans="1:13" s="10" customFormat="1">
      <c r="A937" s="236"/>
      <c r="E937" s="39"/>
      <c r="F937" s="6"/>
      <c r="M937" s="12"/>
    </row>
    <row r="938" spans="1:13" s="10" customFormat="1">
      <c r="A938" s="236"/>
      <c r="B938" s="10" t="s">
        <v>191</v>
      </c>
      <c r="D938" s="88" t="s">
        <v>50</v>
      </c>
      <c r="E938" s="89">
        <f>35.69+2.721+1.7346+5.1496+35.5095+11.808</f>
        <v>92.61269999999999</v>
      </c>
      <c r="F938" s="95" t="s">
        <v>69</v>
      </c>
      <c r="G938" s="89">
        <f>0.2+0.2+0.2</f>
        <v>0.60000000000000009</v>
      </c>
      <c r="I938" s="161" t="s">
        <v>631</v>
      </c>
      <c r="J938" s="92"/>
      <c r="K938" s="92"/>
      <c r="L938" s="93" t="s">
        <v>50</v>
      </c>
      <c r="M938" s="13">
        <f>E938*G938</f>
        <v>55.567620000000005</v>
      </c>
    </row>
    <row r="939" spans="1:13" s="10" customFormat="1">
      <c r="A939" s="236"/>
      <c r="B939" s="10" t="s">
        <v>616</v>
      </c>
      <c r="E939" s="99" t="s">
        <v>120</v>
      </c>
      <c r="F939" s="6"/>
      <c r="G939" s="99" t="s">
        <v>381</v>
      </c>
      <c r="I939" s="10" t="s">
        <v>149</v>
      </c>
      <c r="M939" s="12"/>
    </row>
    <row r="940" spans="1:13" s="10" customFormat="1">
      <c r="A940" s="236"/>
      <c r="E940" s="39"/>
      <c r="F940" s="6"/>
      <c r="M940" s="12"/>
    </row>
    <row r="941" spans="1:13" s="161" customFormat="1" ht="12.75">
      <c r="A941" s="160"/>
      <c r="B941" s="161" t="s">
        <v>10</v>
      </c>
      <c r="E941" s="165" t="s">
        <v>379</v>
      </c>
      <c r="L941" s="162" t="s">
        <v>50</v>
      </c>
      <c r="M941" s="158">
        <f>SUM(M911:M938)</f>
        <v>114.20334000000001</v>
      </c>
    </row>
    <row r="942" spans="1:13" s="10" customFormat="1" ht="12.75">
      <c r="A942" s="5"/>
      <c r="L942" s="93"/>
      <c r="M942" s="14"/>
    </row>
    <row r="943" spans="1:13" s="10" customFormat="1" ht="15">
      <c r="A943" s="16" t="str">
        <f>ORÇAMENTO!A170</f>
        <v>11.</v>
      </c>
      <c r="B943" s="85"/>
      <c r="C943" s="386" t="str">
        <f>ORÇAMENTO!B170</f>
        <v>REVESTIMENTOS INTERNO E EXTERNO</v>
      </c>
      <c r="D943" s="386"/>
      <c r="E943" s="386"/>
      <c r="F943" s="386"/>
      <c r="G943" s="386"/>
      <c r="H943" s="386"/>
      <c r="I943" s="386"/>
      <c r="J943" s="386"/>
      <c r="K943" s="386"/>
      <c r="L943" s="386"/>
      <c r="M943" s="387"/>
    </row>
    <row r="944" spans="1:13" s="10" customFormat="1" ht="15">
      <c r="A944" s="41"/>
      <c r="C944" s="98"/>
      <c r="D944" s="98"/>
      <c r="E944" s="98"/>
      <c r="F944" s="98"/>
      <c r="G944" s="98"/>
      <c r="H944" s="98"/>
      <c r="I944" s="98"/>
      <c r="J944" s="98"/>
      <c r="K944" s="98"/>
      <c r="L944" s="98"/>
      <c r="M944" s="42"/>
    </row>
    <row r="945" spans="1:13" s="10" customFormat="1" ht="15">
      <c r="A945" s="16" t="str">
        <f>ORÇAMENTO!A171</f>
        <v>11.1</v>
      </c>
      <c r="B945" s="85"/>
      <c r="C945" s="386" t="str">
        <f>ORÇAMENTO!C171</f>
        <v>PAREDES</v>
      </c>
      <c r="D945" s="386"/>
      <c r="E945" s="386"/>
      <c r="F945" s="386"/>
      <c r="G945" s="386"/>
      <c r="H945" s="386"/>
      <c r="I945" s="386"/>
      <c r="J945" s="386"/>
      <c r="K945" s="386"/>
      <c r="L945" s="386"/>
      <c r="M945" s="387"/>
    </row>
    <row r="946" spans="1:13" s="10" customFormat="1" ht="15">
      <c r="A946" s="41"/>
      <c r="C946" s="98"/>
      <c r="D946" s="98"/>
      <c r="E946" s="98"/>
      <c r="F946" s="98"/>
      <c r="G946" s="98"/>
      <c r="H946" s="98"/>
      <c r="I946" s="98"/>
      <c r="J946" s="98"/>
      <c r="K946" s="98"/>
      <c r="L946" s="98"/>
      <c r="M946" s="42"/>
    </row>
    <row r="947" spans="1:13" s="10" customFormat="1" ht="39" customHeight="1">
      <c r="A947" s="106" t="str">
        <f>ORÇAMENTO!A172</f>
        <v>11.1.1</v>
      </c>
      <c r="B947" s="107"/>
      <c r="C947" s="383" t="str">
        <f>ORÇAMENTO!D172</f>
        <v>CHAPISCO COM ARGAMASSA, TRAÇO 1:3 (CIMENTO E AREIA), ESP. 5MM, APLICADO EM ALVENARIA COM PENEIRA, PREPARO MECÂNICO</v>
      </c>
      <c r="D947" s="383"/>
      <c r="E947" s="383"/>
      <c r="F947" s="383"/>
      <c r="G947" s="383"/>
      <c r="H947" s="383"/>
      <c r="I947" s="383"/>
      <c r="J947" s="383"/>
      <c r="K947" s="383"/>
      <c r="L947" s="383"/>
      <c r="M947" s="108" t="str">
        <f>ORÇAMENTO!E172</f>
        <v>M2</v>
      </c>
    </row>
    <row r="948" spans="1:13" s="10" customFormat="1" ht="12.75">
      <c r="A948" s="11"/>
      <c r="M948" s="12"/>
    </row>
    <row r="949" spans="1:13" s="10" customFormat="1" ht="12.75">
      <c r="A949" s="11"/>
      <c r="B949" s="10" t="s">
        <v>222</v>
      </c>
      <c r="D949" s="88" t="s">
        <v>50</v>
      </c>
      <c r="E949" s="89">
        <f>26.63+26.03</f>
        <v>52.66</v>
      </c>
      <c r="F949" s="211" t="s">
        <v>69</v>
      </c>
      <c r="G949" s="89">
        <v>0.5</v>
      </c>
      <c r="H949" s="211"/>
      <c r="I949" s="153" t="s">
        <v>844</v>
      </c>
      <c r="J949" s="92"/>
      <c r="K949" s="92"/>
      <c r="L949" s="93" t="s">
        <v>50</v>
      </c>
      <c r="M949" s="13">
        <f>E949*G949</f>
        <v>26.33</v>
      </c>
    </row>
    <row r="950" spans="1:13" s="10" customFormat="1" ht="12.75">
      <c r="A950" s="11"/>
      <c r="B950" s="10" t="s">
        <v>615</v>
      </c>
      <c r="E950" s="99" t="s">
        <v>120</v>
      </c>
      <c r="G950" s="99" t="s">
        <v>264</v>
      </c>
      <c r="I950" s="99"/>
      <c r="M950" s="12"/>
    </row>
    <row r="951" spans="1:13" s="10" customFormat="1" ht="12.75" customHeight="1">
      <c r="A951" s="11"/>
      <c r="E951" s="99"/>
      <c r="G951" s="99"/>
      <c r="I951" s="99"/>
      <c r="M951" s="12"/>
    </row>
    <row r="952" spans="1:13" s="10" customFormat="1" ht="12.75">
      <c r="A952" s="11"/>
      <c r="B952" s="10" t="s">
        <v>222</v>
      </c>
      <c r="D952" s="88" t="s">
        <v>50</v>
      </c>
      <c r="E952" s="89">
        <f>3.95</f>
        <v>3.95</v>
      </c>
      <c r="F952" s="220"/>
      <c r="G952" s="221"/>
      <c r="H952" s="238"/>
      <c r="I952" s="153" t="s">
        <v>845</v>
      </c>
      <c r="J952" s="92"/>
      <c r="K952" s="92"/>
      <c r="L952" s="93" t="s">
        <v>50</v>
      </c>
      <c r="M952" s="13">
        <f>E952</f>
        <v>3.95</v>
      </c>
    </row>
    <row r="953" spans="1:13" s="10" customFormat="1" ht="12.75">
      <c r="A953" s="11"/>
      <c r="B953" s="10" t="s">
        <v>616</v>
      </c>
      <c r="E953" s="99" t="s">
        <v>843</v>
      </c>
      <c r="F953" s="222"/>
      <c r="G953" s="234"/>
      <c r="I953" s="99"/>
      <c r="M953" s="12"/>
    </row>
    <row r="954" spans="1:13" s="10" customFormat="1" ht="12.75" customHeight="1">
      <c r="A954" s="11"/>
      <c r="E954" s="99"/>
      <c r="G954" s="99"/>
      <c r="I954" s="99"/>
      <c r="M954" s="12"/>
    </row>
    <row r="955" spans="1:13" s="10" customFormat="1" ht="12.75">
      <c r="A955" s="11"/>
      <c r="B955" s="10" t="s">
        <v>200</v>
      </c>
      <c r="D955" s="88" t="s">
        <v>50</v>
      </c>
      <c r="E955" s="89">
        <f>(24.02+25.2)+(2.98+8.76+6.36+6.42)</f>
        <v>73.740000000000009</v>
      </c>
      <c r="F955" s="211" t="s">
        <v>69</v>
      </c>
      <c r="G955" s="89">
        <v>3.15</v>
      </c>
      <c r="I955" s="94" t="s">
        <v>565</v>
      </c>
      <c r="J955" s="92"/>
      <c r="K955" s="92"/>
      <c r="L955" s="93" t="s">
        <v>50</v>
      </c>
      <c r="M955" s="13">
        <f>E955*G955</f>
        <v>232.28100000000003</v>
      </c>
    </row>
    <row r="956" spans="1:13" s="10" customFormat="1" ht="12.75">
      <c r="A956" s="11"/>
      <c r="B956" s="10" t="s">
        <v>615</v>
      </c>
      <c r="E956" s="99" t="s">
        <v>120</v>
      </c>
      <c r="G956" s="99" t="s">
        <v>264</v>
      </c>
      <c r="I956" s="99"/>
      <c r="M956" s="12"/>
    </row>
    <row r="957" spans="1:13" s="10" customFormat="1" ht="12.75" customHeight="1">
      <c r="A957" s="11"/>
      <c r="E957" s="99"/>
      <c r="G957" s="99"/>
      <c r="I957" s="99"/>
      <c r="M957" s="12"/>
    </row>
    <row r="958" spans="1:13" s="10" customFormat="1" ht="12.75">
      <c r="A958" s="11"/>
      <c r="B958" s="10" t="s">
        <v>200</v>
      </c>
      <c r="D958" s="88" t="s">
        <v>50</v>
      </c>
      <c r="E958" s="89">
        <f>3.5+3.84</f>
        <v>7.34</v>
      </c>
      <c r="F958" s="211" t="s">
        <v>69</v>
      </c>
      <c r="G958" s="89">
        <v>1.1499999999999999</v>
      </c>
      <c r="I958" s="94" t="s">
        <v>564</v>
      </c>
      <c r="J958" s="92"/>
      <c r="K958" s="92"/>
      <c r="L958" s="93" t="s">
        <v>50</v>
      </c>
      <c r="M958" s="13">
        <f>E958*G958</f>
        <v>8.4409999999999989</v>
      </c>
    </row>
    <row r="959" spans="1:13" s="10" customFormat="1" ht="12.75">
      <c r="A959" s="11"/>
      <c r="B959" s="10" t="s">
        <v>615</v>
      </c>
      <c r="E959" s="99" t="s">
        <v>120</v>
      </c>
      <c r="G959" s="99" t="s">
        <v>264</v>
      </c>
      <c r="I959" s="99"/>
      <c r="M959" s="12"/>
    </row>
    <row r="960" spans="1:13" s="10" customFormat="1" ht="12.75" customHeight="1">
      <c r="A960" s="11"/>
      <c r="E960" s="99"/>
      <c r="G960" s="99"/>
      <c r="I960" s="99"/>
      <c r="M960" s="12"/>
    </row>
    <row r="961" spans="1:13" s="10" customFormat="1" ht="12.75">
      <c r="A961" s="11"/>
      <c r="B961" s="10" t="s">
        <v>561</v>
      </c>
      <c r="D961" s="88" t="s">
        <v>50</v>
      </c>
      <c r="E961" s="89">
        <f>19.63+30.59+4.6</f>
        <v>54.82</v>
      </c>
      <c r="F961" s="211" t="s">
        <v>69</v>
      </c>
      <c r="G961" s="89">
        <v>1.55</v>
      </c>
      <c r="I961" s="94" t="s">
        <v>567</v>
      </c>
      <c r="J961" s="92"/>
      <c r="K961" s="92"/>
      <c r="L961" s="93" t="s">
        <v>50</v>
      </c>
      <c r="M961" s="13">
        <f>E961*G961</f>
        <v>84.971000000000004</v>
      </c>
    </row>
    <row r="962" spans="1:13" s="10" customFormat="1" ht="12.75">
      <c r="A962" s="11"/>
      <c r="B962" s="10" t="s">
        <v>615</v>
      </c>
      <c r="E962" s="99" t="s">
        <v>120</v>
      </c>
      <c r="G962" s="99" t="s">
        <v>264</v>
      </c>
      <c r="I962" s="99"/>
      <c r="M962" s="12"/>
    </row>
    <row r="963" spans="1:13" s="10" customFormat="1" ht="12.75" customHeight="1">
      <c r="A963" s="11"/>
      <c r="E963" s="99"/>
      <c r="G963" s="99"/>
      <c r="I963" s="99"/>
      <c r="M963" s="12"/>
    </row>
    <row r="964" spans="1:13" s="10" customFormat="1" ht="12.75">
      <c r="A964" s="11"/>
      <c r="B964" s="10" t="s">
        <v>222</v>
      </c>
      <c r="D964" s="88" t="s">
        <v>50</v>
      </c>
      <c r="E964" s="89">
        <f>16.121+15.241</f>
        <v>31.361999999999998</v>
      </c>
      <c r="F964" s="238" t="s">
        <v>69</v>
      </c>
      <c r="G964" s="89">
        <v>0.5</v>
      </c>
      <c r="H964" s="238"/>
      <c r="I964" s="153" t="s">
        <v>844</v>
      </c>
      <c r="J964" s="92"/>
      <c r="K964" s="92"/>
      <c r="L964" s="93" t="s">
        <v>50</v>
      </c>
      <c r="M964" s="13">
        <f>E964*G964</f>
        <v>15.680999999999999</v>
      </c>
    </row>
    <row r="965" spans="1:13" s="10" customFormat="1" ht="12.75">
      <c r="A965" s="11"/>
      <c r="B965" s="10" t="s">
        <v>616</v>
      </c>
      <c r="E965" s="99" t="s">
        <v>120</v>
      </c>
      <c r="G965" s="99" t="s">
        <v>264</v>
      </c>
      <c r="I965" s="99"/>
      <c r="M965" s="12"/>
    </row>
    <row r="966" spans="1:13" s="10" customFormat="1" ht="12.75" customHeight="1">
      <c r="A966" s="11"/>
      <c r="E966" s="99"/>
      <c r="G966" s="99"/>
      <c r="I966" s="99"/>
      <c r="M966" s="12"/>
    </row>
    <row r="967" spans="1:13" s="10" customFormat="1" ht="12.75">
      <c r="A967" s="11"/>
      <c r="B967" s="10" t="s">
        <v>222</v>
      </c>
      <c r="D967" s="88" t="s">
        <v>50</v>
      </c>
      <c r="E967" s="89">
        <f>3.389</f>
        <v>3.3889999999999998</v>
      </c>
      <c r="F967" s="220"/>
      <c r="G967" s="221"/>
      <c r="H967" s="238"/>
      <c r="I967" s="153" t="s">
        <v>845</v>
      </c>
      <c r="J967" s="92"/>
      <c r="K967" s="92"/>
      <c r="L967" s="93" t="s">
        <v>50</v>
      </c>
      <c r="M967" s="13">
        <f>E967</f>
        <v>3.3889999999999998</v>
      </c>
    </row>
    <row r="968" spans="1:13" s="10" customFormat="1" ht="12.75">
      <c r="A968" s="11"/>
      <c r="B968" s="10" t="s">
        <v>616</v>
      </c>
      <c r="E968" s="99" t="s">
        <v>843</v>
      </c>
      <c r="F968" s="222"/>
      <c r="G968" s="234"/>
      <c r="I968" s="99"/>
      <c r="M968" s="12"/>
    </row>
    <row r="969" spans="1:13" s="10" customFormat="1" ht="12.75" customHeight="1">
      <c r="A969" s="11"/>
      <c r="E969" s="99"/>
      <c r="G969" s="99"/>
      <c r="I969" s="99"/>
      <c r="M969" s="12"/>
    </row>
    <row r="970" spans="1:13" s="10" customFormat="1" ht="12.75">
      <c r="A970" s="11"/>
      <c r="B970" s="10" t="s">
        <v>200</v>
      </c>
      <c r="D970" s="88" t="s">
        <v>50</v>
      </c>
      <c r="E970" s="89">
        <f>(12.188+32.97+6.9+9.48+16.9)+(16.185)</f>
        <v>94.62299999999999</v>
      </c>
      <c r="F970" s="238" t="s">
        <v>69</v>
      </c>
      <c r="G970" s="89">
        <v>3.15</v>
      </c>
      <c r="I970" s="94"/>
      <c r="J970" s="92"/>
      <c r="K970" s="92"/>
      <c r="L970" s="93" t="s">
        <v>50</v>
      </c>
      <c r="M970" s="13">
        <f>E970*G970</f>
        <v>298.06244999999996</v>
      </c>
    </row>
    <row r="971" spans="1:13" s="10" customFormat="1" ht="12.75">
      <c r="A971" s="11"/>
      <c r="B971" s="10" t="s">
        <v>616</v>
      </c>
      <c r="E971" s="99" t="s">
        <v>120</v>
      </c>
      <c r="G971" s="99" t="s">
        <v>264</v>
      </c>
      <c r="I971" s="99"/>
      <c r="M971" s="12"/>
    </row>
    <row r="972" spans="1:13" s="10" customFormat="1" ht="12.75" customHeight="1">
      <c r="A972" s="11"/>
      <c r="E972" s="99"/>
      <c r="G972" s="99"/>
      <c r="I972" s="99"/>
      <c r="M972" s="12"/>
    </row>
    <row r="973" spans="1:13" s="10" customFormat="1" ht="12.75">
      <c r="A973" s="11"/>
      <c r="B973" s="10" t="s">
        <v>561</v>
      </c>
      <c r="D973" s="88" t="s">
        <v>50</v>
      </c>
      <c r="E973" s="89">
        <f>(15.676+5.49+12.132)+(16.9)</f>
        <v>50.198</v>
      </c>
      <c r="F973" s="238" t="s">
        <v>69</v>
      </c>
      <c r="G973" s="89">
        <v>1.67</v>
      </c>
      <c r="I973" s="94" t="s">
        <v>567</v>
      </c>
      <c r="J973" s="92"/>
      <c r="K973" s="92"/>
      <c r="L973" s="93" t="s">
        <v>50</v>
      </c>
      <c r="M973" s="13">
        <f>E973*G973</f>
        <v>83.830659999999995</v>
      </c>
    </row>
    <row r="974" spans="1:13" s="10" customFormat="1" ht="12.75">
      <c r="A974" s="11"/>
      <c r="B974" s="10" t="s">
        <v>616</v>
      </c>
      <c r="E974" s="99" t="s">
        <v>120</v>
      </c>
      <c r="G974" s="99" t="s">
        <v>264</v>
      </c>
      <c r="I974" s="99"/>
      <c r="M974" s="12"/>
    </row>
    <row r="975" spans="1:13" s="10" customFormat="1" ht="12.75" customHeight="1">
      <c r="A975" s="11"/>
      <c r="E975" s="99"/>
      <c r="G975" s="99"/>
      <c r="I975" s="99"/>
      <c r="M975" s="12"/>
    </row>
    <row r="976" spans="1:13" s="161" customFormat="1" ht="12.75">
      <c r="A976" s="163"/>
      <c r="B976" s="161" t="s">
        <v>10</v>
      </c>
      <c r="E976" s="161" t="s">
        <v>149</v>
      </c>
      <c r="H976" s="164"/>
      <c r="I976" s="165" t="s">
        <v>265</v>
      </c>
      <c r="L976" s="162" t="s">
        <v>50</v>
      </c>
      <c r="M976" s="46">
        <f>SUM(M949:M973)</f>
        <v>756.93610999999999</v>
      </c>
    </row>
    <row r="977" spans="1:13" s="10" customFormat="1" ht="12.75">
      <c r="A977" s="11"/>
      <c r="M977" s="12"/>
    </row>
    <row r="978" spans="1:13" s="10" customFormat="1" ht="39" customHeight="1">
      <c r="A978" s="106" t="str">
        <f>ORÇAMENTO!A173</f>
        <v>11.1.2</v>
      </c>
      <c r="B978" s="107"/>
      <c r="C978" s="383" t="str">
        <f>ORÇAMENTO!D173</f>
        <v>REBOCO COM ARGAMASSA, TRAÇO 1:7 (CIMENTO E AREIA), ESP. 20MM, APLICAÇÃO MANUAL, PREPARO MECÂNICO</v>
      </c>
      <c r="D978" s="383"/>
      <c r="E978" s="383"/>
      <c r="F978" s="383"/>
      <c r="G978" s="383"/>
      <c r="H978" s="383"/>
      <c r="I978" s="383"/>
      <c r="J978" s="383"/>
      <c r="K978" s="383"/>
      <c r="L978" s="383"/>
      <c r="M978" s="108" t="str">
        <f>ORÇAMENTO!E173</f>
        <v>M2</v>
      </c>
    </row>
    <row r="979" spans="1:13" s="10" customFormat="1" ht="12.75">
      <c r="A979" s="11"/>
      <c r="M979" s="12"/>
    </row>
    <row r="980" spans="1:13" s="10" customFormat="1" ht="12.75">
      <c r="A980" s="11"/>
      <c r="B980" s="10" t="s">
        <v>222</v>
      </c>
      <c r="D980" s="88" t="s">
        <v>50</v>
      </c>
      <c r="E980" s="89">
        <f>26.63+26.03</f>
        <v>52.66</v>
      </c>
      <c r="F980" s="238" t="s">
        <v>69</v>
      </c>
      <c r="G980" s="89">
        <v>0.5</v>
      </c>
      <c r="H980" s="238"/>
      <c r="I980" s="153" t="s">
        <v>844</v>
      </c>
      <c r="J980" s="92"/>
      <c r="K980" s="92"/>
      <c r="L980" s="93" t="s">
        <v>50</v>
      </c>
      <c r="M980" s="13">
        <f>E980*G980</f>
        <v>26.33</v>
      </c>
    </row>
    <row r="981" spans="1:13" s="10" customFormat="1" ht="12.75">
      <c r="A981" s="11"/>
      <c r="B981" s="10" t="s">
        <v>615</v>
      </c>
      <c r="E981" s="99" t="s">
        <v>120</v>
      </c>
      <c r="G981" s="99" t="s">
        <v>264</v>
      </c>
      <c r="I981" s="99"/>
      <c r="M981" s="12"/>
    </row>
    <row r="982" spans="1:13" s="10" customFormat="1" ht="12.75" customHeight="1">
      <c r="A982" s="11"/>
      <c r="E982" s="99"/>
      <c r="G982" s="99"/>
      <c r="I982" s="99"/>
      <c r="M982" s="12"/>
    </row>
    <row r="983" spans="1:13" s="10" customFormat="1" ht="12.75">
      <c r="A983" s="11"/>
      <c r="B983" s="10" t="s">
        <v>222</v>
      </c>
      <c r="D983" s="88" t="s">
        <v>50</v>
      </c>
      <c r="E983" s="89">
        <f>3.95</f>
        <v>3.95</v>
      </c>
      <c r="F983" s="220"/>
      <c r="G983" s="221"/>
      <c r="H983" s="238"/>
      <c r="I983" s="153" t="s">
        <v>845</v>
      </c>
      <c r="J983" s="92"/>
      <c r="K983" s="92"/>
      <c r="L983" s="93" t="s">
        <v>50</v>
      </c>
      <c r="M983" s="13">
        <f>E983</f>
        <v>3.95</v>
      </c>
    </row>
    <row r="984" spans="1:13" s="10" customFormat="1" ht="12.75">
      <c r="A984" s="11"/>
      <c r="B984" s="10" t="s">
        <v>616</v>
      </c>
      <c r="E984" s="99" t="s">
        <v>843</v>
      </c>
      <c r="F984" s="222"/>
      <c r="G984" s="234"/>
      <c r="I984" s="99"/>
      <c r="M984" s="12"/>
    </row>
    <row r="985" spans="1:13" s="10" customFormat="1" ht="12.75" customHeight="1">
      <c r="A985" s="11"/>
      <c r="E985" s="99"/>
      <c r="G985" s="99"/>
      <c r="I985" s="99"/>
      <c r="M985" s="12"/>
    </row>
    <row r="986" spans="1:13" s="10" customFormat="1" ht="12.75">
      <c r="A986" s="11"/>
      <c r="B986" s="10" t="s">
        <v>200</v>
      </c>
      <c r="D986" s="88" t="s">
        <v>50</v>
      </c>
      <c r="E986" s="89">
        <f>(24.02+25.2)+(2.98+8.76)</f>
        <v>60.96</v>
      </c>
      <c r="F986" s="238" t="s">
        <v>69</v>
      </c>
      <c r="G986" s="89">
        <v>3.15</v>
      </c>
      <c r="I986" s="94" t="s">
        <v>565</v>
      </c>
      <c r="J986" s="92"/>
      <c r="K986" s="92"/>
      <c r="L986" s="93" t="s">
        <v>50</v>
      </c>
      <c r="M986" s="13">
        <f>E986*G986</f>
        <v>192.024</v>
      </c>
    </row>
    <row r="987" spans="1:13" s="10" customFormat="1" ht="12.75">
      <c r="A987" s="11"/>
      <c r="B987" s="10" t="s">
        <v>615</v>
      </c>
      <c r="E987" s="99" t="s">
        <v>120</v>
      </c>
      <c r="G987" s="99" t="s">
        <v>264</v>
      </c>
      <c r="I987" s="99"/>
      <c r="M987" s="12"/>
    </row>
    <row r="988" spans="1:13" s="10" customFormat="1" ht="12.75" customHeight="1">
      <c r="A988" s="11"/>
      <c r="E988" s="99"/>
      <c r="G988" s="99"/>
      <c r="I988" s="99"/>
      <c r="M988" s="12"/>
    </row>
    <row r="989" spans="1:13" s="10" customFormat="1" ht="12.75">
      <c r="A989" s="11"/>
      <c r="B989" s="10" t="s">
        <v>200</v>
      </c>
      <c r="D989" s="88" t="s">
        <v>50</v>
      </c>
      <c r="E989" s="89">
        <f>3.5+3.84</f>
        <v>7.34</v>
      </c>
      <c r="F989" s="238" t="s">
        <v>69</v>
      </c>
      <c r="G989" s="89">
        <v>1.1499999999999999</v>
      </c>
      <c r="I989" s="94" t="s">
        <v>564</v>
      </c>
      <c r="J989" s="92"/>
      <c r="K989" s="92"/>
      <c r="L989" s="93" t="s">
        <v>50</v>
      </c>
      <c r="M989" s="13">
        <f>E989*G989</f>
        <v>8.4409999999999989</v>
      </c>
    </row>
    <row r="990" spans="1:13" s="10" customFormat="1" ht="12.75">
      <c r="A990" s="11"/>
      <c r="B990" s="10" t="s">
        <v>615</v>
      </c>
      <c r="E990" s="99" t="s">
        <v>120</v>
      </c>
      <c r="G990" s="99" t="s">
        <v>264</v>
      </c>
      <c r="I990" s="99"/>
      <c r="M990" s="12"/>
    </row>
    <row r="991" spans="1:13" s="10" customFormat="1" ht="12.75" customHeight="1">
      <c r="A991" s="11"/>
      <c r="E991" s="99"/>
      <c r="G991" s="99"/>
      <c r="I991" s="99"/>
      <c r="M991" s="12"/>
    </row>
    <row r="992" spans="1:13" s="10" customFormat="1" ht="12.75">
      <c r="A992" s="11"/>
      <c r="B992" s="10" t="s">
        <v>561</v>
      </c>
      <c r="D992" s="88" t="s">
        <v>50</v>
      </c>
      <c r="E992" s="89">
        <f>19.63+30.59+4.6</f>
        <v>54.82</v>
      </c>
      <c r="F992" s="238" t="s">
        <v>69</v>
      </c>
      <c r="G992" s="89">
        <v>1.55</v>
      </c>
      <c r="I992" s="94" t="s">
        <v>567</v>
      </c>
      <c r="J992" s="92"/>
      <c r="K992" s="92"/>
      <c r="L992" s="93" t="s">
        <v>50</v>
      </c>
      <c r="M992" s="13">
        <f>E992*G992</f>
        <v>84.971000000000004</v>
      </c>
    </row>
    <row r="993" spans="1:13" s="10" customFormat="1" ht="12.75">
      <c r="A993" s="11"/>
      <c r="B993" s="10" t="s">
        <v>615</v>
      </c>
      <c r="E993" s="99" t="s">
        <v>120</v>
      </c>
      <c r="G993" s="99" t="s">
        <v>264</v>
      </c>
      <c r="I993" s="99"/>
      <c r="M993" s="12"/>
    </row>
    <row r="994" spans="1:13" s="10" customFormat="1" ht="12.75" customHeight="1">
      <c r="A994" s="11"/>
      <c r="E994" s="99"/>
      <c r="G994" s="99"/>
      <c r="I994" s="99"/>
      <c r="M994" s="12"/>
    </row>
    <row r="995" spans="1:13" s="10" customFormat="1" ht="12.75">
      <c r="A995" s="11"/>
      <c r="B995" s="10" t="s">
        <v>222</v>
      </c>
      <c r="D995" s="88" t="s">
        <v>50</v>
      </c>
      <c r="E995" s="89">
        <f>16.121+15.241</f>
        <v>31.361999999999998</v>
      </c>
      <c r="F995" s="238" t="s">
        <v>69</v>
      </c>
      <c r="G995" s="89">
        <v>0.5</v>
      </c>
      <c r="H995" s="238"/>
      <c r="I995" s="153" t="s">
        <v>844</v>
      </c>
      <c r="J995" s="92"/>
      <c r="K995" s="92"/>
      <c r="L995" s="93" t="s">
        <v>50</v>
      </c>
      <c r="M995" s="13">
        <f>E995*G995</f>
        <v>15.680999999999999</v>
      </c>
    </row>
    <row r="996" spans="1:13" s="10" customFormat="1" ht="12.75">
      <c r="A996" s="11"/>
      <c r="B996" s="10" t="s">
        <v>616</v>
      </c>
      <c r="E996" s="99" t="s">
        <v>120</v>
      </c>
      <c r="G996" s="99" t="s">
        <v>264</v>
      </c>
      <c r="I996" s="99"/>
      <c r="M996" s="12"/>
    </row>
    <row r="997" spans="1:13" s="10" customFormat="1" ht="12.75" customHeight="1">
      <c r="A997" s="11"/>
      <c r="E997" s="99"/>
      <c r="G997" s="99"/>
      <c r="I997" s="99"/>
      <c r="M997" s="12"/>
    </row>
    <row r="998" spans="1:13" s="10" customFormat="1" ht="12.75">
      <c r="A998" s="11"/>
      <c r="B998" s="10" t="s">
        <v>222</v>
      </c>
      <c r="D998" s="88" t="s">
        <v>50</v>
      </c>
      <c r="E998" s="89">
        <f>3.389</f>
        <v>3.3889999999999998</v>
      </c>
      <c r="F998" s="220"/>
      <c r="G998" s="221"/>
      <c r="H998" s="238"/>
      <c r="I998" s="153" t="s">
        <v>845</v>
      </c>
      <c r="J998" s="92"/>
      <c r="K998" s="92"/>
      <c r="L998" s="93" t="s">
        <v>50</v>
      </c>
      <c r="M998" s="13">
        <f>E998</f>
        <v>3.3889999999999998</v>
      </c>
    </row>
    <row r="999" spans="1:13" s="10" customFormat="1" ht="12.75">
      <c r="A999" s="11"/>
      <c r="B999" s="10" t="s">
        <v>616</v>
      </c>
      <c r="E999" s="99" t="s">
        <v>843</v>
      </c>
      <c r="F999" s="222"/>
      <c r="G999" s="234"/>
      <c r="I999" s="99"/>
      <c r="M999" s="12"/>
    </row>
    <row r="1000" spans="1:13" s="10" customFormat="1" ht="12.75" customHeight="1">
      <c r="A1000" s="11"/>
      <c r="E1000" s="99"/>
      <c r="G1000" s="99"/>
      <c r="I1000" s="99"/>
      <c r="M1000" s="12"/>
    </row>
    <row r="1001" spans="1:13" s="10" customFormat="1" ht="12.75">
      <c r="A1001" s="11"/>
      <c r="B1001" s="10" t="s">
        <v>200</v>
      </c>
      <c r="D1001" s="88" t="s">
        <v>50</v>
      </c>
      <c r="E1001" s="89">
        <f>(12.188+32.97+16.9)+(16.185)</f>
        <v>78.242999999999995</v>
      </c>
      <c r="F1001" s="238" t="s">
        <v>69</v>
      </c>
      <c r="G1001" s="89">
        <v>3.15</v>
      </c>
      <c r="I1001" s="94"/>
      <c r="J1001" s="92"/>
      <c r="K1001" s="92"/>
      <c r="L1001" s="93" t="s">
        <v>50</v>
      </c>
      <c r="M1001" s="13">
        <f>E1001*G1001</f>
        <v>246.46544999999998</v>
      </c>
    </row>
    <row r="1002" spans="1:13" s="10" customFormat="1" ht="12.75">
      <c r="A1002" s="11"/>
      <c r="B1002" s="10" t="s">
        <v>616</v>
      </c>
      <c r="E1002" s="99" t="s">
        <v>120</v>
      </c>
      <c r="G1002" s="99" t="s">
        <v>264</v>
      </c>
      <c r="I1002" s="99"/>
      <c r="M1002" s="12"/>
    </row>
    <row r="1003" spans="1:13" s="10" customFormat="1" ht="12.75" customHeight="1">
      <c r="A1003" s="11"/>
      <c r="E1003" s="99"/>
      <c r="G1003" s="99"/>
      <c r="I1003" s="99"/>
      <c r="M1003" s="12"/>
    </row>
    <row r="1004" spans="1:13" s="10" customFormat="1" ht="12.75">
      <c r="A1004" s="11"/>
      <c r="B1004" s="10" t="s">
        <v>561</v>
      </c>
      <c r="D1004" s="88" t="s">
        <v>50</v>
      </c>
      <c r="E1004" s="89">
        <f>(15.676+5.49+12.132)+(16.9)</f>
        <v>50.198</v>
      </c>
      <c r="F1004" s="238" t="s">
        <v>69</v>
      </c>
      <c r="G1004" s="89">
        <v>1.67</v>
      </c>
      <c r="I1004" s="94" t="s">
        <v>567</v>
      </c>
      <c r="J1004" s="92"/>
      <c r="K1004" s="92"/>
      <c r="L1004" s="93" t="s">
        <v>50</v>
      </c>
      <c r="M1004" s="13">
        <f>E1004*G1004</f>
        <v>83.830659999999995</v>
      </c>
    </row>
    <row r="1005" spans="1:13" s="10" customFormat="1" ht="12.75">
      <c r="A1005" s="11"/>
      <c r="B1005" s="10" t="s">
        <v>616</v>
      </c>
      <c r="E1005" s="99" t="s">
        <v>120</v>
      </c>
      <c r="G1005" s="99" t="s">
        <v>264</v>
      </c>
      <c r="I1005" s="99"/>
      <c r="M1005" s="12"/>
    </row>
    <row r="1006" spans="1:13" s="10" customFormat="1" ht="12.75" customHeight="1">
      <c r="A1006" s="11"/>
      <c r="E1006" s="99"/>
      <c r="G1006" s="99"/>
      <c r="I1006" s="99"/>
      <c r="M1006" s="12"/>
    </row>
    <row r="1007" spans="1:13" s="161" customFormat="1" ht="12.75">
      <c r="A1007" s="163"/>
      <c r="B1007" s="161" t="s">
        <v>10</v>
      </c>
      <c r="E1007" s="161" t="s">
        <v>149</v>
      </c>
      <c r="H1007" s="164"/>
      <c r="I1007" s="165" t="s">
        <v>265</v>
      </c>
      <c r="L1007" s="162" t="s">
        <v>50</v>
      </c>
      <c r="M1007" s="46">
        <f>SUM(M980:M1004)</f>
        <v>665.08210999999994</v>
      </c>
    </row>
    <row r="1008" spans="1:13" s="10" customFormat="1" ht="12.75">
      <c r="A1008" s="11"/>
      <c r="M1008" s="12"/>
    </row>
    <row r="1009" spans="1:13" s="10" customFormat="1" ht="39" customHeight="1">
      <c r="A1009" s="106" t="str">
        <f>ORÇAMENTO!A174</f>
        <v>11.1.3</v>
      </c>
      <c r="B1009" s="107"/>
      <c r="C1009" s="383" t="str">
        <f>ORÇAMENTO!D174</f>
        <v>REBOCO COM ARGAMASSA, TRAÇO 1:2:9 (CIMENTO, CAL E AREIA), COM ADITIVO IMPERMEABILIZANTE, ESP. 20MM, APLICAÇÃO MANUAL, PREPARO MECÂNICO</v>
      </c>
      <c r="D1009" s="383"/>
      <c r="E1009" s="383"/>
      <c r="F1009" s="383"/>
      <c r="G1009" s="383"/>
      <c r="H1009" s="383"/>
      <c r="I1009" s="383"/>
      <c r="J1009" s="383"/>
      <c r="K1009" s="383"/>
      <c r="L1009" s="383"/>
      <c r="M1009" s="108" t="str">
        <f>ORÇAMENTO!E174</f>
        <v>M2</v>
      </c>
    </row>
    <row r="1010" spans="1:13" s="10" customFormat="1" ht="12.75">
      <c r="A1010" s="11"/>
      <c r="M1010" s="12"/>
    </row>
    <row r="1011" spans="1:13" s="10" customFormat="1" ht="12.75">
      <c r="A1011" s="11"/>
      <c r="B1011" s="10" t="s">
        <v>847</v>
      </c>
      <c r="D1011" s="88" t="s">
        <v>50</v>
      </c>
      <c r="E1011" s="89">
        <f>6.36+6.42</f>
        <v>12.780000000000001</v>
      </c>
      <c r="F1011" s="90" t="s">
        <v>69</v>
      </c>
      <c r="G1011" s="89">
        <v>3.15</v>
      </c>
      <c r="H1011" s="90"/>
      <c r="I1011" s="91"/>
      <c r="L1011" s="93" t="s">
        <v>50</v>
      </c>
      <c r="M1011" s="13">
        <f>E1011*G1011</f>
        <v>40.257000000000005</v>
      </c>
    </row>
    <row r="1012" spans="1:13" s="10" customFormat="1" ht="12.75">
      <c r="A1012" s="11"/>
      <c r="B1012" s="10" t="s">
        <v>577</v>
      </c>
      <c r="E1012" s="99" t="s">
        <v>120</v>
      </c>
      <c r="G1012" s="10" t="s">
        <v>264</v>
      </c>
      <c r="M1012" s="12"/>
    </row>
    <row r="1013" spans="1:13" s="10" customFormat="1" ht="12.75">
      <c r="A1013" s="11"/>
      <c r="M1013" s="12"/>
    </row>
    <row r="1014" spans="1:13" s="10" customFormat="1" ht="12.75">
      <c r="A1014" s="11"/>
      <c r="B1014" s="10" t="s">
        <v>848</v>
      </c>
      <c r="D1014" s="88" t="s">
        <v>50</v>
      </c>
      <c r="E1014" s="89">
        <f>9.48+6.9</f>
        <v>16.380000000000003</v>
      </c>
      <c r="F1014" s="90" t="s">
        <v>69</v>
      </c>
      <c r="G1014" s="89">
        <v>3.15</v>
      </c>
      <c r="H1014" s="90"/>
      <c r="I1014" s="91"/>
      <c r="L1014" s="93" t="s">
        <v>50</v>
      </c>
      <c r="M1014" s="13">
        <f>E1014*G1014</f>
        <v>51.597000000000008</v>
      </c>
    </row>
    <row r="1015" spans="1:13" s="10" customFormat="1" ht="12.75">
      <c r="A1015" s="11"/>
      <c r="B1015" s="10" t="s">
        <v>645</v>
      </c>
      <c r="E1015" s="99" t="s">
        <v>120</v>
      </c>
      <c r="G1015" s="10" t="s">
        <v>264</v>
      </c>
      <c r="M1015" s="12"/>
    </row>
    <row r="1016" spans="1:13" s="10" customFormat="1" ht="12.75">
      <c r="A1016" s="11"/>
      <c r="M1016" s="12"/>
    </row>
    <row r="1017" spans="1:13" s="161" customFormat="1" ht="12.75">
      <c r="A1017" s="163"/>
      <c r="B1017" s="161" t="s">
        <v>10</v>
      </c>
      <c r="E1017" s="161" t="s">
        <v>149</v>
      </c>
      <c r="H1017" s="164"/>
      <c r="I1017" s="165" t="s">
        <v>265</v>
      </c>
      <c r="L1017" s="162" t="s">
        <v>50</v>
      </c>
      <c r="M1017" s="46">
        <f>SUM(M1011:M1014)</f>
        <v>91.854000000000013</v>
      </c>
    </row>
    <row r="1018" spans="1:13" s="10" customFormat="1" ht="12.75">
      <c r="A1018" s="11"/>
      <c r="M1018" s="12"/>
    </row>
    <row r="1019" spans="1:13" s="10" customFormat="1" ht="39" customHeight="1">
      <c r="A1019" s="106" t="str">
        <f>ORÇAMENTO!A175</f>
        <v>11.1.4</v>
      </c>
      <c r="B1019" s="107"/>
      <c r="C1019" s="383" t="str">
        <f>ORÇAMENTO!D175</f>
        <v>EMBOÇO COM ARGAMASSA, TRAÇO 1:6 (CIMENTO E AREIA), ESP. 20MM, APLICAÇÃO MANUAL, INCLUSIVE ARGAMASSA COM PREPARO MECANIZADO, EXCLUSIVE CHAPISCO</v>
      </c>
      <c r="D1019" s="383"/>
      <c r="E1019" s="383"/>
      <c r="F1019" s="383"/>
      <c r="G1019" s="383"/>
      <c r="H1019" s="383"/>
      <c r="I1019" s="383"/>
      <c r="J1019" s="383"/>
      <c r="K1019" s="383"/>
      <c r="L1019" s="383"/>
      <c r="M1019" s="108" t="str">
        <f>ORÇAMENTO!E175</f>
        <v>M2</v>
      </c>
    </row>
    <row r="1020" spans="1:13" s="10" customFormat="1" ht="12.75">
      <c r="A1020" s="11"/>
      <c r="M1020" s="12"/>
    </row>
    <row r="1021" spans="1:13" s="10" customFormat="1" ht="12.75">
      <c r="A1021" s="11"/>
      <c r="B1021" s="10" t="s">
        <v>222</v>
      </c>
      <c r="D1021" s="88" t="s">
        <v>50</v>
      </c>
      <c r="E1021" s="89">
        <f>26.63+26.03</f>
        <v>52.66</v>
      </c>
      <c r="F1021" s="238" t="s">
        <v>69</v>
      </c>
      <c r="G1021" s="89">
        <v>0.5</v>
      </c>
      <c r="H1021" s="238"/>
      <c r="I1021" s="153" t="s">
        <v>844</v>
      </c>
      <c r="J1021" s="92"/>
      <c r="K1021" s="92"/>
      <c r="L1021" s="93" t="s">
        <v>50</v>
      </c>
      <c r="M1021" s="13">
        <f>E1021*G1021</f>
        <v>26.33</v>
      </c>
    </row>
    <row r="1022" spans="1:13" s="10" customFormat="1" ht="12.75">
      <c r="A1022" s="11"/>
      <c r="B1022" s="10" t="s">
        <v>615</v>
      </c>
      <c r="E1022" s="99" t="s">
        <v>120</v>
      </c>
      <c r="G1022" s="99" t="s">
        <v>264</v>
      </c>
      <c r="I1022" s="99"/>
      <c r="M1022" s="12"/>
    </row>
    <row r="1023" spans="1:13" s="10" customFormat="1" ht="12.75" customHeight="1">
      <c r="A1023" s="11"/>
      <c r="E1023" s="99"/>
      <c r="G1023" s="99"/>
      <c r="I1023" s="99"/>
      <c r="M1023" s="12"/>
    </row>
    <row r="1024" spans="1:13" s="10" customFormat="1" ht="12.75">
      <c r="A1024" s="11"/>
      <c r="B1024" s="10" t="s">
        <v>222</v>
      </c>
      <c r="D1024" s="88" t="s">
        <v>50</v>
      </c>
      <c r="E1024" s="89">
        <f>3.95</f>
        <v>3.95</v>
      </c>
      <c r="F1024" s="220"/>
      <c r="G1024" s="221"/>
      <c r="H1024" s="238"/>
      <c r="I1024" s="153" t="s">
        <v>845</v>
      </c>
      <c r="J1024" s="92"/>
      <c r="K1024" s="92"/>
      <c r="L1024" s="93" t="s">
        <v>50</v>
      </c>
      <c r="M1024" s="13">
        <f>E1024</f>
        <v>3.95</v>
      </c>
    </row>
    <row r="1025" spans="1:13" s="10" customFormat="1" ht="12.75">
      <c r="A1025" s="11"/>
      <c r="B1025" s="10" t="s">
        <v>616</v>
      </c>
      <c r="E1025" s="99" t="s">
        <v>843</v>
      </c>
      <c r="F1025" s="222"/>
      <c r="G1025" s="234"/>
      <c r="I1025" s="99"/>
      <c r="M1025" s="12"/>
    </row>
    <row r="1026" spans="1:13" s="10" customFormat="1" ht="12.75" customHeight="1">
      <c r="A1026" s="11"/>
      <c r="E1026" s="99"/>
      <c r="G1026" s="99"/>
      <c r="I1026" s="99"/>
      <c r="M1026" s="12"/>
    </row>
    <row r="1027" spans="1:13" s="10" customFormat="1" ht="12.75">
      <c r="A1027" s="11"/>
      <c r="B1027" s="10" t="s">
        <v>200</v>
      </c>
      <c r="D1027" s="88" t="s">
        <v>50</v>
      </c>
      <c r="E1027" s="89">
        <f>(24.02+25.2)+(2.98+8.76+6.36+6.42)</f>
        <v>73.740000000000009</v>
      </c>
      <c r="F1027" s="238" t="s">
        <v>69</v>
      </c>
      <c r="G1027" s="89">
        <v>3.15</v>
      </c>
      <c r="I1027" s="94" t="s">
        <v>565</v>
      </c>
      <c r="J1027" s="92"/>
      <c r="K1027" s="92"/>
      <c r="L1027" s="93" t="s">
        <v>50</v>
      </c>
      <c r="M1027" s="13">
        <f>E1027*G1027</f>
        <v>232.28100000000003</v>
      </c>
    </row>
    <row r="1028" spans="1:13" s="10" customFormat="1" ht="12.75">
      <c r="A1028" s="11"/>
      <c r="B1028" s="10" t="s">
        <v>615</v>
      </c>
      <c r="E1028" s="99" t="s">
        <v>120</v>
      </c>
      <c r="G1028" s="99" t="s">
        <v>264</v>
      </c>
      <c r="I1028" s="99"/>
      <c r="M1028" s="12"/>
    </row>
    <row r="1029" spans="1:13" s="10" customFormat="1" ht="12.75" customHeight="1">
      <c r="A1029" s="11"/>
      <c r="E1029" s="99"/>
      <c r="G1029" s="99"/>
      <c r="I1029" s="99"/>
      <c r="M1029" s="12"/>
    </row>
    <row r="1030" spans="1:13" s="10" customFormat="1" ht="12.75">
      <c r="A1030" s="11"/>
      <c r="B1030" s="10" t="s">
        <v>200</v>
      </c>
      <c r="D1030" s="88" t="s">
        <v>50</v>
      </c>
      <c r="E1030" s="89">
        <f>3.5+3.84</f>
        <v>7.34</v>
      </c>
      <c r="F1030" s="238" t="s">
        <v>69</v>
      </c>
      <c r="G1030" s="89">
        <v>1.1499999999999999</v>
      </c>
      <c r="I1030" s="94" t="s">
        <v>564</v>
      </c>
      <c r="J1030" s="92"/>
      <c r="K1030" s="92"/>
      <c r="L1030" s="93" t="s">
        <v>50</v>
      </c>
      <c r="M1030" s="13">
        <f>E1030*G1030</f>
        <v>8.4409999999999989</v>
      </c>
    </row>
    <row r="1031" spans="1:13" s="10" customFormat="1" ht="12.75">
      <c r="A1031" s="11"/>
      <c r="B1031" s="10" t="s">
        <v>615</v>
      </c>
      <c r="E1031" s="99" t="s">
        <v>120</v>
      </c>
      <c r="G1031" s="99" t="s">
        <v>264</v>
      </c>
      <c r="I1031" s="99"/>
      <c r="M1031" s="12"/>
    </row>
    <row r="1032" spans="1:13" s="10" customFormat="1" ht="12.75" customHeight="1">
      <c r="A1032" s="11"/>
      <c r="E1032" s="99"/>
      <c r="G1032" s="99"/>
      <c r="I1032" s="99"/>
      <c r="M1032" s="12"/>
    </row>
    <row r="1033" spans="1:13" s="10" customFormat="1" ht="12.75">
      <c r="A1033" s="11"/>
      <c r="B1033" s="10" t="s">
        <v>561</v>
      </c>
      <c r="D1033" s="88" t="s">
        <v>50</v>
      </c>
      <c r="E1033" s="89">
        <f>19.63+30.59+4.6</f>
        <v>54.82</v>
      </c>
      <c r="F1033" s="238" t="s">
        <v>69</v>
      </c>
      <c r="G1033" s="89">
        <v>1.55</v>
      </c>
      <c r="I1033" s="94" t="s">
        <v>567</v>
      </c>
      <c r="J1033" s="92"/>
      <c r="K1033" s="92"/>
      <c r="L1033" s="93" t="s">
        <v>50</v>
      </c>
      <c r="M1033" s="13">
        <f>E1033*G1033</f>
        <v>84.971000000000004</v>
      </c>
    </row>
    <row r="1034" spans="1:13" s="10" customFormat="1" ht="12.75">
      <c r="A1034" s="11"/>
      <c r="B1034" s="10" t="s">
        <v>615</v>
      </c>
      <c r="E1034" s="99" t="s">
        <v>120</v>
      </c>
      <c r="G1034" s="99" t="s">
        <v>264</v>
      </c>
      <c r="I1034" s="99"/>
      <c r="M1034" s="12"/>
    </row>
    <row r="1035" spans="1:13" s="10" customFormat="1" ht="12.75" customHeight="1">
      <c r="A1035" s="11"/>
      <c r="E1035" s="99"/>
      <c r="G1035" s="99"/>
      <c r="I1035" s="99"/>
      <c r="M1035" s="12"/>
    </row>
    <row r="1036" spans="1:13" s="10" customFormat="1" ht="12.75">
      <c r="A1036" s="11"/>
      <c r="B1036" s="10" t="s">
        <v>222</v>
      </c>
      <c r="D1036" s="88" t="s">
        <v>50</v>
      </c>
      <c r="E1036" s="89">
        <f>16.121+15.241</f>
        <v>31.361999999999998</v>
      </c>
      <c r="F1036" s="238" t="s">
        <v>69</v>
      </c>
      <c r="G1036" s="89">
        <v>0.5</v>
      </c>
      <c r="H1036" s="238"/>
      <c r="I1036" s="153" t="s">
        <v>844</v>
      </c>
      <c r="J1036" s="92"/>
      <c r="K1036" s="92"/>
      <c r="L1036" s="93" t="s">
        <v>50</v>
      </c>
      <c r="M1036" s="13">
        <f>E1036*G1036</f>
        <v>15.680999999999999</v>
      </c>
    </row>
    <row r="1037" spans="1:13" s="10" customFormat="1" ht="12.75">
      <c r="A1037" s="11"/>
      <c r="B1037" s="10" t="s">
        <v>616</v>
      </c>
      <c r="E1037" s="99" t="s">
        <v>120</v>
      </c>
      <c r="G1037" s="99" t="s">
        <v>264</v>
      </c>
      <c r="I1037" s="99"/>
      <c r="M1037" s="12"/>
    </row>
    <row r="1038" spans="1:13" s="10" customFormat="1" ht="12.75" customHeight="1">
      <c r="A1038" s="11"/>
      <c r="E1038" s="99"/>
      <c r="G1038" s="99"/>
      <c r="I1038" s="99"/>
      <c r="M1038" s="12"/>
    </row>
    <row r="1039" spans="1:13" s="10" customFormat="1" ht="12.75">
      <c r="A1039" s="11"/>
      <c r="B1039" s="10" t="s">
        <v>222</v>
      </c>
      <c r="D1039" s="88" t="s">
        <v>50</v>
      </c>
      <c r="E1039" s="89">
        <f>3.389</f>
        <v>3.3889999999999998</v>
      </c>
      <c r="F1039" s="220"/>
      <c r="G1039" s="221"/>
      <c r="H1039" s="238"/>
      <c r="I1039" s="153" t="s">
        <v>845</v>
      </c>
      <c r="J1039" s="92"/>
      <c r="K1039" s="92"/>
      <c r="L1039" s="93" t="s">
        <v>50</v>
      </c>
      <c r="M1039" s="13">
        <f>E1039</f>
        <v>3.3889999999999998</v>
      </c>
    </row>
    <row r="1040" spans="1:13" s="10" customFormat="1" ht="12.75">
      <c r="A1040" s="11"/>
      <c r="B1040" s="10" t="s">
        <v>616</v>
      </c>
      <c r="E1040" s="99" t="s">
        <v>843</v>
      </c>
      <c r="F1040" s="222"/>
      <c r="G1040" s="234"/>
      <c r="I1040" s="99"/>
      <c r="M1040" s="12"/>
    </row>
    <row r="1041" spans="1:13" s="10" customFormat="1" ht="12.75" customHeight="1">
      <c r="A1041" s="11"/>
      <c r="E1041" s="99"/>
      <c r="G1041" s="99"/>
      <c r="I1041" s="99"/>
      <c r="M1041" s="12"/>
    </row>
    <row r="1042" spans="1:13" s="10" customFormat="1" ht="12.75">
      <c r="A1042" s="11"/>
      <c r="B1042" s="10" t="s">
        <v>200</v>
      </c>
      <c r="D1042" s="88" t="s">
        <v>50</v>
      </c>
      <c r="E1042" s="89">
        <f>(12.188+32.97+6.9+9.48+16.9)+(16.185)</f>
        <v>94.62299999999999</v>
      </c>
      <c r="F1042" s="238" t="s">
        <v>69</v>
      </c>
      <c r="G1042" s="89">
        <v>3.15</v>
      </c>
      <c r="I1042" s="94"/>
      <c r="J1042" s="92"/>
      <c r="K1042" s="92"/>
      <c r="L1042" s="93" t="s">
        <v>50</v>
      </c>
      <c r="M1042" s="13">
        <f>E1042*G1042</f>
        <v>298.06244999999996</v>
      </c>
    </row>
    <row r="1043" spans="1:13" s="10" customFormat="1" ht="12.75">
      <c r="A1043" s="11"/>
      <c r="B1043" s="10" t="s">
        <v>616</v>
      </c>
      <c r="E1043" s="99" t="s">
        <v>120</v>
      </c>
      <c r="G1043" s="99" t="s">
        <v>264</v>
      </c>
      <c r="I1043" s="99"/>
      <c r="M1043" s="12"/>
    </row>
    <row r="1044" spans="1:13" s="10" customFormat="1" ht="12.75" customHeight="1">
      <c r="A1044" s="11"/>
      <c r="E1044" s="99"/>
      <c r="G1044" s="99"/>
      <c r="I1044" s="99"/>
      <c r="M1044" s="12"/>
    </row>
    <row r="1045" spans="1:13" s="10" customFormat="1" ht="12.75">
      <c r="A1045" s="11"/>
      <c r="B1045" s="10" t="s">
        <v>561</v>
      </c>
      <c r="D1045" s="88" t="s">
        <v>50</v>
      </c>
      <c r="E1045" s="89">
        <f>(15.676+5.49+12.132)+(16.9)</f>
        <v>50.198</v>
      </c>
      <c r="F1045" s="238" t="s">
        <v>69</v>
      </c>
      <c r="G1045" s="89">
        <v>1.67</v>
      </c>
      <c r="I1045" s="94" t="s">
        <v>567</v>
      </c>
      <c r="J1045" s="92"/>
      <c r="K1045" s="92"/>
      <c r="L1045" s="93" t="s">
        <v>50</v>
      </c>
      <c r="M1045" s="13">
        <f>E1045*G1045</f>
        <v>83.830659999999995</v>
      </c>
    </row>
    <row r="1046" spans="1:13" s="10" customFormat="1" ht="12.75">
      <c r="A1046" s="11"/>
      <c r="B1046" s="10" t="s">
        <v>616</v>
      </c>
      <c r="E1046" s="99" t="s">
        <v>120</v>
      </c>
      <c r="G1046" s="99" t="s">
        <v>264</v>
      </c>
      <c r="I1046" s="99"/>
      <c r="M1046" s="12"/>
    </row>
    <row r="1047" spans="1:13" s="10" customFormat="1" ht="12.75" customHeight="1">
      <c r="A1047" s="11"/>
      <c r="E1047" s="99"/>
      <c r="G1047" s="99"/>
      <c r="I1047" s="99"/>
      <c r="M1047" s="12"/>
    </row>
    <row r="1048" spans="1:13" s="161" customFormat="1" ht="12.75">
      <c r="A1048" s="163"/>
      <c r="B1048" s="161" t="s">
        <v>10</v>
      </c>
      <c r="E1048" s="161" t="s">
        <v>149</v>
      </c>
      <c r="H1048" s="164"/>
      <c r="I1048" s="165" t="s">
        <v>265</v>
      </c>
      <c r="L1048" s="162" t="s">
        <v>50</v>
      </c>
      <c r="M1048" s="46">
        <f>SUM(M1021:M1045)</f>
        <v>756.93610999999999</v>
      </c>
    </row>
    <row r="1049" spans="1:13" s="10" customFormat="1" ht="12.75">
      <c r="A1049" s="11"/>
      <c r="M1049" s="12"/>
    </row>
    <row r="1050" spans="1:13" s="10" customFormat="1" ht="39" customHeight="1">
      <c r="A1050" s="106" t="str">
        <f>ORÇAMENTO!A176</f>
        <v>11.1.5</v>
      </c>
      <c r="B1050" s="107"/>
      <c r="C1050" s="383" t="str">
        <f>ORÇAMENTO!D176</f>
        <v>REVESTIMENTO CERÂMICO PARA PAREDES INTERNAS COM PLACAS TIPO ESMALTADA EXTRA DE DIMENSÕES 20X20 CM APLICADAS NA ALTURA INTEIRA DAS PAREDES.  AF_02/2023_PE</v>
      </c>
      <c r="D1050" s="383"/>
      <c r="E1050" s="383"/>
      <c r="F1050" s="383"/>
      <c r="G1050" s="383"/>
      <c r="H1050" s="383"/>
      <c r="I1050" s="383"/>
      <c r="J1050" s="383"/>
      <c r="K1050" s="383"/>
      <c r="L1050" s="383"/>
      <c r="M1050" s="108" t="str">
        <f>ORÇAMENTO!E176</f>
        <v>M2</v>
      </c>
    </row>
    <row r="1051" spans="1:13" s="10" customFormat="1" ht="12.75">
      <c r="A1051" s="11"/>
      <c r="M1051" s="12"/>
    </row>
    <row r="1052" spans="1:13" s="10" customFormat="1" ht="12.75">
      <c r="A1052" s="11"/>
      <c r="B1052" s="10" t="s">
        <v>847</v>
      </c>
      <c r="D1052" s="88" t="s">
        <v>50</v>
      </c>
      <c r="E1052" s="89">
        <f>6.36+6.42</f>
        <v>12.780000000000001</v>
      </c>
      <c r="F1052" s="238" t="s">
        <v>69</v>
      </c>
      <c r="G1052" s="89">
        <v>3.15</v>
      </c>
      <c r="H1052" s="238"/>
      <c r="I1052" s="91"/>
      <c r="L1052" s="93" t="s">
        <v>50</v>
      </c>
      <c r="M1052" s="13">
        <f>E1052*G1052</f>
        <v>40.257000000000005</v>
      </c>
    </row>
    <row r="1053" spans="1:13" s="10" customFormat="1" ht="12.75">
      <c r="A1053" s="11"/>
      <c r="B1053" s="10" t="s">
        <v>577</v>
      </c>
      <c r="E1053" s="99" t="s">
        <v>120</v>
      </c>
      <c r="G1053" s="10" t="s">
        <v>264</v>
      </c>
      <c r="M1053" s="12"/>
    </row>
    <row r="1054" spans="1:13" s="10" customFormat="1" ht="12.75">
      <c r="A1054" s="11"/>
      <c r="M1054" s="12"/>
    </row>
    <row r="1055" spans="1:13" s="10" customFormat="1" ht="12.75">
      <c r="A1055" s="11"/>
      <c r="B1055" s="10" t="s">
        <v>848</v>
      </c>
      <c r="D1055" s="88" t="s">
        <v>50</v>
      </c>
      <c r="E1055" s="89">
        <f>9.48+6.9</f>
        <v>16.380000000000003</v>
      </c>
      <c r="F1055" s="238" t="s">
        <v>69</v>
      </c>
      <c r="G1055" s="89">
        <v>3.15</v>
      </c>
      <c r="H1055" s="238"/>
      <c r="I1055" s="91"/>
      <c r="L1055" s="93" t="s">
        <v>50</v>
      </c>
      <c r="M1055" s="13">
        <f>E1055*G1055</f>
        <v>51.597000000000008</v>
      </c>
    </row>
    <row r="1056" spans="1:13" s="10" customFormat="1" ht="12.75">
      <c r="A1056" s="11"/>
      <c r="B1056" s="10" t="s">
        <v>645</v>
      </c>
      <c r="E1056" s="99" t="s">
        <v>120</v>
      </c>
      <c r="G1056" s="10" t="s">
        <v>264</v>
      </c>
      <c r="M1056" s="12"/>
    </row>
    <row r="1057" spans="1:13" s="10" customFormat="1" ht="12.75">
      <c r="A1057" s="11"/>
      <c r="M1057" s="12"/>
    </row>
    <row r="1058" spans="1:13" s="161" customFormat="1" ht="12.75">
      <c r="A1058" s="163"/>
      <c r="B1058" s="161" t="s">
        <v>10</v>
      </c>
      <c r="E1058" s="161" t="s">
        <v>149</v>
      </c>
      <c r="H1058" s="164"/>
      <c r="I1058" s="165" t="s">
        <v>265</v>
      </c>
      <c r="L1058" s="162" t="s">
        <v>50</v>
      </c>
      <c r="M1058" s="46">
        <f>SUM(M1052:M1055)</f>
        <v>91.854000000000013</v>
      </c>
    </row>
    <row r="1059" spans="1:13" s="10" customFormat="1" ht="12.75">
      <c r="A1059" s="11"/>
      <c r="M1059" s="12"/>
    </row>
    <row r="1060" spans="1:13" s="10" customFormat="1" ht="26.25" customHeight="1">
      <c r="A1060" s="106" t="str">
        <f>ORÇAMENTO!A177</f>
        <v>11.1.6</v>
      </c>
      <c r="B1060" s="107"/>
      <c r="C1060" s="383" t="str">
        <f>ORÇAMENTO!D177</f>
        <v>PEITORIL DE GRANITO CINZA ANDORINHA E = 2 CM</v>
      </c>
      <c r="D1060" s="383"/>
      <c r="E1060" s="383"/>
      <c r="F1060" s="383"/>
      <c r="G1060" s="383"/>
      <c r="H1060" s="383"/>
      <c r="I1060" s="383"/>
      <c r="J1060" s="383"/>
      <c r="K1060" s="383"/>
      <c r="L1060" s="383"/>
      <c r="M1060" s="108" t="str">
        <f>ORÇAMENTO!E177</f>
        <v>M2</v>
      </c>
    </row>
    <row r="1061" spans="1:13" s="10" customFormat="1" ht="12.75">
      <c r="A1061" s="11"/>
      <c r="M1061" s="12"/>
    </row>
    <row r="1062" spans="1:13" s="10" customFormat="1" ht="12.75">
      <c r="A1062" s="11"/>
      <c r="B1062" s="10" t="s">
        <v>657</v>
      </c>
      <c r="D1062" s="88" t="s">
        <v>50</v>
      </c>
      <c r="E1062" s="89">
        <f>(0.025+1.4+0.025)</f>
        <v>1.4499999999999997</v>
      </c>
      <c r="F1062" s="238" t="s">
        <v>69</v>
      </c>
      <c r="G1062" s="89">
        <f>0.17+0.025</f>
        <v>0.19500000000000001</v>
      </c>
      <c r="H1062" s="238" t="s">
        <v>69</v>
      </c>
      <c r="I1062" s="89">
        <v>2</v>
      </c>
      <c r="L1062" s="93" t="s">
        <v>50</v>
      </c>
      <c r="M1062" s="13">
        <f>E1062*G1062*I1062</f>
        <v>0.56549999999999989</v>
      </c>
    </row>
    <row r="1063" spans="1:13" s="10" customFormat="1" ht="12.75">
      <c r="A1063" s="11"/>
      <c r="B1063" s="10" t="s">
        <v>645</v>
      </c>
      <c r="E1063" s="99" t="s">
        <v>56</v>
      </c>
      <c r="G1063" s="99" t="s">
        <v>267</v>
      </c>
      <c r="I1063" s="99" t="s">
        <v>291</v>
      </c>
      <c r="M1063" s="12"/>
    </row>
    <row r="1064" spans="1:13" s="10" customFormat="1" ht="12.75">
      <c r="A1064" s="11"/>
      <c r="E1064" s="99"/>
      <c r="M1064" s="12"/>
    </row>
    <row r="1065" spans="1:13" s="10" customFormat="1" ht="12.75">
      <c r="A1065" s="11"/>
      <c r="B1065" s="10" t="s">
        <v>657</v>
      </c>
      <c r="D1065" s="88" t="s">
        <v>50</v>
      </c>
      <c r="E1065" s="89">
        <f>(0.025+1.4+0.025)</f>
        <v>1.4499999999999997</v>
      </c>
      <c r="F1065" s="238" t="s">
        <v>69</v>
      </c>
      <c r="G1065" s="89">
        <f>0.14+0.025</f>
        <v>0.16500000000000001</v>
      </c>
      <c r="H1065" s="238" t="s">
        <v>69</v>
      </c>
      <c r="I1065" s="89">
        <v>1</v>
      </c>
      <c r="L1065" s="93" t="s">
        <v>50</v>
      </c>
      <c r="M1065" s="13">
        <f>E1065*G1065*I1065</f>
        <v>0.23924999999999996</v>
      </c>
    </row>
    <row r="1066" spans="1:13" s="10" customFormat="1" ht="12.75">
      <c r="A1066" s="11"/>
      <c r="B1066" s="10" t="s">
        <v>599</v>
      </c>
      <c r="E1066" s="99" t="s">
        <v>56</v>
      </c>
      <c r="G1066" s="99" t="s">
        <v>267</v>
      </c>
      <c r="I1066" s="99" t="s">
        <v>291</v>
      </c>
      <c r="M1066" s="12"/>
    </row>
    <row r="1067" spans="1:13" s="10" customFormat="1" ht="12.75">
      <c r="A1067" s="11"/>
      <c r="E1067" s="99"/>
      <c r="M1067" s="12"/>
    </row>
    <row r="1068" spans="1:13" s="10" customFormat="1" ht="12.75">
      <c r="A1068" s="11"/>
      <c r="B1068" s="10" t="s">
        <v>658</v>
      </c>
      <c r="D1068" s="88" t="s">
        <v>50</v>
      </c>
      <c r="E1068" s="89">
        <f>(0.025+1.4+0.025)</f>
        <v>1.4499999999999997</v>
      </c>
      <c r="F1068" s="238" t="s">
        <v>69</v>
      </c>
      <c r="G1068" s="89">
        <f>0.14+0.025</f>
        <v>0.16500000000000001</v>
      </c>
      <c r="H1068" s="238" t="s">
        <v>69</v>
      </c>
      <c r="I1068" s="89">
        <v>1</v>
      </c>
      <c r="L1068" s="93" t="s">
        <v>50</v>
      </c>
      <c r="M1068" s="13">
        <f>E1068*G1068*I1068</f>
        <v>0.23924999999999996</v>
      </c>
    </row>
    <row r="1069" spans="1:13" s="10" customFormat="1" ht="12.75">
      <c r="A1069" s="11"/>
      <c r="B1069" s="10" t="s">
        <v>661</v>
      </c>
      <c r="E1069" s="99" t="s">
        <v>56</v>
      </c>
      <c r="G1069" s="99" t="s">
        <v>267</v>
      </c>
      <c r="I1069" s="99" t="s">
        <v>291</v>
      </c>
      <c r="M1069" s="12"/>
    </row>
    <row r="1070" spans="1:13" s="10" customFormat="1" ht="12.75">
      <c r="A1070" s="11"/>
      <c r="E1070" s="99"/>
      <c r="M1070" s="12"/>
    </row>
    <row r="1071" spans="1:13" s="10" customFormat="1" ht="12.75">
      <c r="A1071" s="11"/>
      <c r="B1071" s="10" t="s">
        <v>659</v>
      </c>
      <c r="D1071" s="88" t="s">
        <v>50</v>
      </c>
      <c r="E1071" s="89">
        <f>(0.025+1.9+0.025)</f>
        <v>1.9499999999999997</v>
      </c>
      <c r="F1071" s="238" t="s">
        <v>69</v>
      </c>
      <c r="G1071" s="89">
        <f>0.17+0.025</f>
        <v>0.19500000000000001</v>
      </c>
      <c r="H1071" s="238" t="s">
        <v>69</v>
      </c>
      <c r="I1071" s="89">
        <v>4</v>
      </c>
      <c r="L1071" s="93" t="s">
        <v>50</v>
      </c>
      <c r="M1071" s="13">
        <f>E1071*G1071*I1071</f>
        <v>1.5209999999999999</v>
      </c>
    </row>
    <row r="1072" spans="1:13" s="10" customFormat="1" ht="12.75">
      <c r="A1072" s="11"/>
      <c r="B1072" s="10" t="s">
        <v>589</v>
      </c>
      <c r="E1072" s="99" t="s">
        <v>56</v>
      </c>
      <c r="G1072" s="99" t="s">
        <v>267</v>
      </c>
      <c r="I1072" s="99" t="s">
        <v>291</v>
      </c>
      <c r="M1072" s="12"/>
    </row>
    <row r="1073" spans="1:13" s="10" customFormat="1" ht="12.75">
      <c r="A1073" s="11"/>
      <c r="E1073" s="99"/>
      <c r="M1073" s="12"/>
    </row>
    <row r="1074" spans="1:13" s="10" customFormat="1" ht="12.75">
      <c r="A1074" s="11"/>
      <c r="B1074" s="10" t="s">
        <v>660</v>
      </c>
      <c r="D1074" s="88" t="s">
        <v>50</v>
      </c>
      <c r="E1074" s="89">
        <f>(0.025+1.6+0.025)</f>
        <v>1.65</v>
      </c>
      <c r="F1074" s="238" t="s">
        <v>69</v>
      </c>
      <c r="G1074" s="89">
        <f>0.3+0.025</f>
        <v>0.32500000000000001</v>
      </c>
      <c r="H1074" s="238" t="s">
        <v>69</v>
      </c>
      <c r="I1074" s="89">
        <v>1</v>
      </c>
      <c r="L1074" s="93" t="s">
        <v>50</v>
      </c>
      <c r="M1074" s="13">
        <f>E1074*G1074*I1074</f>
        <v>0.53625</v>
      </c>
    </row>
    <row r="1075" spans="1:13" s="10" customFormat="1" ht="12.75">
      <c r="A1075" s="11"/>
      <c r="B1075" s="10" t="s">
        <v>640</v>
      </c>
      <c r="E1075" s="99" t="s">
        <v>56</v>
      </c>
      <c r="G1075" s="99" t="s">
        <v>267</v>
      </c>
      <c r="I1075" s="99" t="s">
        <v>291</v>
      </c>
      <c r="M1075" s="12"/>
    </row>
    <row r="1076" spans="1:13" s="10" customFormat="1" ht="12.75">
      <c r="A1076" s="11"/>
      <c r="E1076" s="99"/>
      <c r="M1076" s="12"/>
    </row>
    <row r="1077" spans="1:13" s="10" customFormat="1" ht="12.75">
      <c r="A1077" s="11"/>
      <c r="B1077" s="10" t="s">
        <v>657</v>
      </c>
      <c r="D1077" s="88" t="s">
        <v>50</v>
      </c>
      <c r="E1077" s="89">
        <f>(0.025+1.4+0.025)</f>
        <v>1.4499999999999997</v>
      </c>
      <c r="F1077" s="238" t="s">
        <v>69</v>
      </c>
      <c r="G1077" s="89">
        <f>0.17+0.025</f>
        <v>0.19500000000000001</v>
      </c>
      <c r="H1077" s="238" t="s">
        <v>69</v>
      </c>
      <c r="I1077" s="89">
        <v>1</v>
      </c>
      <c r="L1077" s="93" t="s">
        <v>50</v>
      </c>
      <c r="M1077" s="13">
        <f>E1077*G1077*I1077</f>
        <v>0.28274999999999995</v>
      </c>
    </row>
    <row r="1078" spans="1:13" s="10" customFormat="1" ht="12.75">
      <c r="A1078" s="11"/>
      <c r="B1078" s="10" t="s">
        <v>577</v>
      </c>
      <c r="E1078" s="99" t="s">
        <v>56</v>
      </c>
      <c r="G1078" s="99" t="s">
        <v>267</v>
      </c>
      <c r="I1078" s="99" t="s">
        <v>291</v>
      </c>
      <c r="M1078" s="12"/>
    </row>
    <row r="1079" spans="1:13" s="10" customFormat="1" ht="12.75">
      <c r="A1079" s="11"/>
      <c r="E1079" s="99"/>
      <c r="M1079" s="12"/>
    </row>
    <row r="1080" spans="1:13" s="10" customFormat="1" ht="12.75">
      <c r="A1080" s="11"/>
      <c r="B1080" s="10" t="s">
        <v>659</v>
      </c>
      <c r="D1080" s="88" t="s">
        <v>50</v>
      </c>
      <c r="E1080" s="89">
        <f>(0.025+1.9+0.025)</f>
        <v>1.9499999999999997</v>
      </c>
      <c r="F1080" s="238" t="s">
        <v>69</v>
      </c>
      <c r="G1080" s="89">
        <f>0.17+0.025</f>
        <v>0.19500000000000001</v>
      </c>
      <c r="H1080" s="238" t="s">
        <v>69</v>
      </c>
      <c r="I1080" s="89">
        <v>2</v>
      </c>
      <c r="L1080" s="93" t="s">
        <v>50</v>
      </c>
      <c r="M1080" s="13">
        <f>E1080*G1080*I1080</f>
        <v>0.76049999999999995</v>
      </c>
    </row>
    <row r="1081" spans="1:13" s="10" customFormat="1" ht="12.75">
      <c r="A1081" s="11"/>
      <c r="B1081" s="10" t="s">
        <v>577</v>
      </c>
      <c r="E1081" s="99" t="s">
        <v>56</v>
      </c>
      <c r="G1081" s="99" t="s">
        <v>267</v>
      </c>
      <c r="I1081" s="99" t="s">
        <v>291</v>
      </c>
      <c r="M1081" s="12"/>
    </row>
    <row r="1082" spans="1:13" s="10" customFormat="1" ht="12.75">
      <c r="A1082" s="11"/>
      <c r="E1082" s="99"/>
      <c r="M1082" s="12"/>
    </row>
    <row r="1083" spans="1:13" s="161" customFormat="1" ht="12.75">
      <c r="A1083" s="163"/>
      <c r="B1083" s="161" t="s">
        <v>10</v>
      </c>
      <c r="D1083" s="165"/>
      <c r="E1083" s="164" t="s">
        <v>395</v>
      </c>
      <c r="I1083" s="165" t="s">
        <v>265</v>
      </c>
      <c r="L1083" s="162" t="s">
        <v>50</v>
      </c>
      <c r="M1083" s="46">
        <f>SUM(M1062:M1080)</f>
        <v>4.144499999999999</v>
      </c>
    </row>
    <row r="1084" spans="1:13" s="10" customFormat="1" ht="12.75">
      <c r="A1084" s="11"/>
      <c r="M1084" s="12"/>
    </row>
    <row r="1085" spans="1:13" s="185" customFormat="1" ht="26.25" customHeight="1">
      <c r="A1085" s="106" t="str">
        <f>ORÇAMENTO!A178</f>
        <v>11.1.7</v>
      </c>
      <c r="B1085" s="107"/>
      <c r="C1085" s="383" t="str">
        <f>ORÇAMENTO!D178</f>
        <v>RODABANCA/FRONTÃO PARA BANCADA EM GRANITO, COR CINZA ANDORINHA, ESP. 2CM, ALTURA DE 10CM, INCLUSIVE REJUNTAMENTO EM MASSA PLÁSTICA NA COR DA PEDRA</v>
      </c>
      <c r="D1085" s="383"/>
      <c r="E1085" s="383"/>
      <c r="F1085" s="383"/>
      <c r="G1085" s="383"/>
      <c r="H1085" s="383"/>
      <c r="I1085" s="383"/>
      <c r="J1085" s="383"/>
      <c r="K1085" s="383"/>
      <c r="L1085" s="383"/>
      <c r="M1085" s="108" t="str">
        <f>ORÇAMENTO!E178</f>
        <v>M</v>
      </c>
    </row>
    <row r="1086" spans="1:13" s="10" customFormat="1" ht="12.75">
      <c r="A1086" s="11"/>
      <c r="M1086" s="12"/>
    </row>
    <row r="1087" spans="1:13" s="10" customFormat="1" ht="12.75">
      <c r="A1087" s="11"/>
      <c r="B1087" s="87" t="s">
        <v>642</v>
      </c>
      <c r="D1087" s="88" t="s">
        <v>50</v>
      </c>
      <c r="E1087" s="89">
        <v>1.5</v>
      </c>
      <c r="F1087" s="90"/>
      <c r="G1087" s="91"/>
      <c r="H1087" s="90"/>
      <c r="I1087" s="91"/>
      <c r="J1087" s="92"/>
      <c r="K1087" s="92"/>
      <c r="L1087" s="93" t="s">
        <v>50</v>
      </c>
      <c r="M1087" s="13">
        <f>E1087</f>
        <v>1.5</v>
      </c>
    </row>
    <row r="1088" spans="1:13" s="10" customFormat="1" ht="12.75">
      <c r="A1088" s="11"/>
      <c r="B1088" s="87" t="s">
        <v>645</v>
      </c>
      <c r="E1088" s="39" t="s">
        <v>289</v>
      </c>
      <c r="G1088" s="39"/>
      <c r="I1088" s="39"/>
      <c r="M1088" s="12"/>
    </row>
    <row r="1089" spans="1:28" s="10" customFormat="1" ht="12.75" customHeight="1">
      <c r="A1089" s="11"/>
      <c r="B1089" s="87"/>
      <c r="E1089" s="39"/>
      <c r="G1089" s="39"/>
      <c r="I1089" s="39"/>
      <c r="M1089" s="12"/>
    </row>
    <row r="1090" spans="1:28" s="161" customFormat="1" ht="12.75">
      <c r="A1090" s="163"/>
      <c r="B1090" s="161" t="s">
        <v>10</v>
      </c>
      <c r="E1090" s="161" t="s">
        <v>149</v>
      </c>
      <c r="I1090" s="165" t="s">
        <v>265</v>
      </c>
      <c r="L1090" s="162" t="s">
        <v>50</v>
      </c>
      <c r="M1090" s="46">
        <f>SUM(M1087)</f>
        <v>1.5</v>
      </c>
    </row>
    <row r="1091" spans="1:28" s="10" customFormat="1" ht="12.75">
      <c r="A1091" s="11"/>
      <c r="M1091" s="12"/>
    </row>
    <row r="1092" spans="1:28" s="10" customFormat="1" ht="23.25" customHeight="1">
      <c r="A1092" s="254" t="str">
        <f>ORÇAMENTO!A179</f>
        <v>11.1.8</v>
      </c>
      <c r="B1092" s="255"/>
      <c r="C1092" s="383" t="str">
        <f>ORÇAMENTO!D179</f>
        <v>FORNECIMENTO DE ANDAIME METÁLICO PARA FACHADA (LOCAÇÃO), INCLUSIVE PISO METÁLICO E SAPATAS, EXCLUSIVE MONTAGEM E DESMONTAGEM</v>
      </c>
      <c r="D1092" s="383"/>
      <c r="E1092" s="383"/>
      <c r="F1092" s="383"/>
      <c r="G1092" s="383"/>
      <c r="H1092" s="383"/>
      <c r="I1092" s="383"/>
      <c r="J1092" s="383"/>
      <c r="K1092" s="383"/>
      <c r="L1092" s="383"/>
      <c r="M1092" s="108" t="str">
        <f>ORÇAMENTO!E179</f>
        <v>M2xMÊS</v>
      </c>
    </row>
    <row r="1093" spans="1:28" customFormat="1" ht="12.75">
      <c r="A1093" s="136"/>
      <c r="B1093" s="137"/>
      <c r="E1093" s="138"/>
      <c r="G1093" s="138"/>
      <c r="I1093" s="138"/>
      <c r="M1093" s="139"/>
    </row>
    <row r="1094" spans="1:28" customFormat="1" ht="12.75">
      <c r="A1094" s="136"/>
      <c r="B1094" s="137" t="s">
        <v>295</v>
      </c>
      <c r="D1094" s="140" t="s">
        <v>50</v>
      </c>
      <c r="E1094" s="141">
        <f>22.9+32.1+16.185</f>
        <v>71.185000000000002</v>
      </c>
      <c r="F1094" s="142" t="s">
        <v>69</v>
      </c>
      <c r="G1094" s="141">
        <v>4.5</v>
      </c>
      <c r="H1094" s="142"/>
      <c r="I1094" s="143"/>
      <c r="J1094" s="144"/>
      <c r="K1094" s="144"/>
      <c r="L1094" s="145" t="s">
        <v>50</v>
      </c>
      <c r="M1094" s="146">
        <f>E1094*G1094</f>
        <v>320.33249999999998</v>
      </c>
    </row>
    <row r="1095" spans="1:28" customFormat="1" ht="12.75">
      <c r="A1095" s="136"/>
      <c r="B1095" s="137" t="s">
        <v>189</v>
      </c>
      <c r="E1095" s="138" t="s">
        <v>296</v>
      </c>
      <c r="G1095" s="138" t="s">
        <v>266</v>
      </c>
      <c r="I1095" s="138"/>
      <c r="M1095" s="139"/>
    </row>
    <row r="1096" spans="1:28" customFormat="1" ht="12.75">
      <c r="A1096" s="136"/>
      <c r="B1096" s="137"/>
      <c r="E1096" s="138"/>
      <c r="G1096" s="138"/>
      <c r="I1096" s="138"/>
      <c r="M1096" s="139"/>
    </row>
    <row r="1097" spans="1:28" s="161" customFormat="1" ht="12.75">
      <c r="A1097" s="163"/>
      <c r="B1097" s="171" t="s">
        <v>10</v>
      </c>
      <c r="D1097" s="167" t="s">
        <v>50</v>
      </c>
      <c r="E1097" s="172">
        <f>SUM(M1094)</f>
        <v>320.33249999999998</v>
      </c>
      <c r="F1097" s="168" t="s">
        <v>69</v>
      </c>
      <c r="G1097" s="172">
        <v>2</v>
      </c>
      <c r="H1097" s="168" t="s">
        <v>69</v>
      </c>
      <c r="I1097" s="172">
        <v>1</v>
      </c>
      <c r="J1097" s="169"/>
      <c r="K1097" s="169"/>
      <c r="L1097" s="162" t="s">
        <v>50</v>
      </c>
      <c r="M1097" s="46">
        <f>E1097*G1097*I1097</f>
        <v>640.66499999999996</v>
      </c>
      <c r="O1097" s="171"/>
      <c r="R1097" s="173"/>
      <c r="T1097" s="173"/>
      <c r="V1097" s="173"/>
      <c r="X1097" s="173"/>
      <c r="AA1097" s="162"/>
      <c r="AB1097" s="102"/>
    </row>
    <row r="1098" spans="1:28" customFormat="1" ht="12.75">
      <c r="A1098" s="147"/>
      <c r="B1098" s="137"/>
      <c r="E1098" s="138" t="s">
        <v>297</v>
      </c>
      <c r="G1098" s="138" t="s">
        <v>298</v>
      </c>
      <c r="I1098" s="138" t="s">
        <v>52</v>
      </c>
      <c r="M1098" s="139"/>
      <c r="Q1098" s="137"/>
      <c r="S1098" s="140"/>
      <c r="T1098" s="148"/>
      <c r="U1098" s="142"/>
      <c r="V1098" s="148"/>
      <c r="Y1098" s="144"/>
      <c r="Z1098" s="144"/>
      <c r="AA1098" s="145"/>
      <c r="AB1098" s="148"/>
    </row>
    <row r="1099" spans="1:28" customFormat="1" ht="12.75">
      <c r="A1099" s="136"/>
      <c r="B1099" s="137"/>
      <c r="E1099" s="138"/>
      <c r="G1099" s="138"/>
      <c r="I1099" s="138"/>
      <c r="M1099" s="139"/>
    </row>
    <row r="1100" spans="1:28" customFormat="1" ht="12.75">
      <c r="A1100" s="136"/>
      <c r="B1100" s="137"/>
      <c r="E1100" s="161" t="s">
        <v>149</v>
      </c>
      <c r="F1100" s="161"/>
      <c r="G1100" s="161"/>
      <c r="H1100" s="161"/>
      <c r="I1100" s="165" t="s">
        <v>265</v>
      </c>
      <c r="M1100" s="139"/>
    </row>
    <row r="1101" spans="1:28" customFormat="1" ht="12.75">
      <c r="A1101" s="136"/>
      <c r="B1101" s="137"/>
      <c r="E1101" s="138"/>
      <c r="G1101" s="138"/>
      <c r="I1101" s="138"/>
      <c r="M1101" s="139"/>
    </row>
    <row r="1102" spans="1:28" s="10" customFormat="1" ht="23.25" customHeight="1">
      <c r="A1102" s="254" t="str">
        <f>ORÇAMENTO!A180</f>
        <v>11.1.9</v>
      </c>
      <c r="B1102" s="255"/>
      <c r="C1102" s="383" t="str">
        <f>ORÇAMENTO!D180</f>
        <v>MONTAGEM E DESMONTAGEM DE ANDAIME METÁLICO PARA FACHADA COM PISO METÁLICO, EXCLUSIVE FORNECIMENTO DO ANDAIME E RODAPÉ/GUARDA-CORPO EM MADEIRA</v>
      </c>
      <c r="D1102" s="383"/>
      <c r="E1102" s="383"/>
      <c r="F1102" s="383"/>
      <c r="G1102" s="383"/>
      <c r="H1102" s="383"/>
      <c r="I1102" s="383"/>
      <c r="J1102" s="383"/>
      <c r="K1102" s="383"/>
      <c r="L1102" s="383"/>
      <c r="M1102" s="108" t="str">
        <f>ORÇAMENTO!E180</f>
        <v>M2</v>
      </c>
    </row>
    <row r="1103" spans="1:28" customFormat="1" ht="12.75">
      <c r="A1103" s="147"/>
      <c r="B1103" s="137"/>
      <c r="E1103" s="138"/>
      <c r="G1103" s="138"/>
      <c r="I1103" s="138"/>
      <c r="M1103" s="139"/>
      <c r="Q1103" s="137"/>
      <c r="S1103" s="140"/>
      <c r="T1103" s="148"/>
      <c r="U1103" s="142"/>
      <c r="V1103" s="148"/>
      <c r="Y1103" s="144"/>
      <c r="Z1103" s="144"/>
      <c r="AA1103" s="145"/>
      <c r="AB1103" s="148"/>
    </row>
    <row r="1104" spans="1:28" customFormat="1" ht="12.75">
      <c r="A1104" s="147"/>
      <c r="B1104" s="137" t="s">
        <v>295</v>
      </c>
      <c r="D1104" s="140" t="s">
        <v>50</v>
      </c>
      <c r="E1104" s="141">
        <f>E1094</f>
        <v>71.185000000000002</v>
      </c>
      <c r="F1104" s="142" t="s">
        <v>69</v>
      </c>
      <c r="G1104" s="141">
        <v>4.5</v>
      </c>
      <c r="H1104" s="142"/>
      <c r="I1104" s="148"/>
      <c r="J1104" s="144"/>
      <c r="K1104" s="144"/>
      <c r="L1104" s="145" t="s">
        <v>50</v>
      </c>
      <c r="M1104" s="146">
        <f>E1104*G1104</f>
        <v>320.33249999999998</v>
      </c>
      <c r="Q1104" s="137"/>
      <c r="S1104" s="140"/>
      <c r="T1104" s="148"/>
      <c r="U1104" s="142"/>
      <c r="V1104" s="148"/>
      <c r="Y1104" s="144"/>
      <c r="Z1104" s="144"/>
      <c r="AA1104" s="145"/>
      <c r="AB1104" s="148"/>
    </row>
    <row r="1105" spans="1:28" customFormat="1" ht="12.75">
      <c r="A1105" s="147"/>
      <c r="B1105" s="137" t="s">
        <v>189</v>
      </c>
      <c r="E1105" s="138" t="s">
        <v>296</v>
      </c>
      <c r="G1105" s="138" t="s">
        <v>266</v>
      </c>
      <c r="I1105" s="138"/>
      <c r="M1105" s="139"/>
      <c r="Q1105" s="137"/>
      <c r="S1105" s="140"/>
      <c r="T1105" s="148"/>
      <c r="U1105" s="142"/>
      <c r="V1105" s="148"/>
      <c r="Y1105" s="144"/>
      <c r="Z1105" s="144"/>
      <c r="AA1105" s="145"/>
      <c r="AB1105" s="148"/>
    </row>
    <row r="1106" spans="1:28" customFormat="1" ht="12.75">
      <c r="A1106" s="147"/>
      <c r="B1106" s="137"/>
      <c r="E1106" s="138"/>
      <c r="G1106" s="138"/>
      <c r="I1106" s="138"/>
      <c r="M1106" s="139"/>
      <c r="Q1106" s="137"/>
      <c r="S1106" s="140"/>
      <c r="T1106" s="148"/>
      <c r="U1106" s="142"/>
      <c r="V1106" s="148"/>
      <c r="Y1106" s="144"/>
      <c r="Z1106" s="144"/>
      <c r="AA1106" s="145"/>
      <c r="AB1106" s="148"/>
    </row>
    <row r="1107" spans="1:28" s="161" customFormat="1" ht="12.75">
      <c r="A1107" s="163"/>
      <c r="B1107" s="171" t="s">
        <v>10</v>
      </c>
      <c r="D1107" s="167" t="s">
        <v>50</v>
      </c>
      <c r="E1107" s="161" t="s">
        <v>149</v>
      </c>
      <c r="I1107" s="165" t="s">
        <v>265</v>
      </c>
      <c r="J1107" s="169"/>
      <c r="K1107" s="169"/>
      <c r="L1107" s="162" t="s">
        <v>50</v>
      </c>
      <c r="M1107" s="46">
        <f>SUM(M1104)</f>
        <v>320.33249999999998</v>
      </c>
      <c r="Q1107" s="171"/>
      <c r="S1107" s="167"/>
      <c r="T1107" s="102"/>
      <c r="U1107" s="168"/>
      <c r="V1107" s="102"/>
      <c r="Y1107" s="169"/>
      <c r="Z1107" s="169"/>
      <c r="AA1107" s="162"/>
      <c r="AB1107" s="102"/>
    </row>
    <row r="1108" spans="1:28" customFormat="1" ht="12.75">
      <c r="A1108" s="147"/>
      <c r="B1108" s="137"/>
      <c r="E1108" s="138"/>
      <c r="G1108" s="138"/>
      <c r="I1108" s="138"/>
      <c r="M1108" s="139"/>
      <c r="Q1108" s="137"/>
      <c r="S1108" s="140"/>
      <c r="T1108" s="148"/>
      <c r="U1108" s="142"/>
      <c r="V1108" s="148"/>
      <c r="Y1108" s="144"/>
      <c r="Z1108" s="144"/>
      <c r="AA1108" s="145"/>
      <c r="AB1108" s="148"/>
    </row>
    <row r="1109" spans="1:28" s="10" customFormat="1" ht="15">
      <c r="A1109" s="16" t="str">
        <f>ORÇAMENTO!A182</f>
        <v>11.2</v>
      </c>
      <c r="B1109" s="85"/>
      <c r="C1109" s="386" t="str">
        <f>ORÇAMENTO!C182</f>
        <v>TETOS</v>
      </c>
      <c r="D1109" s="386"/>
      <c r="E1109" s="386"/>
      <c r="F1109" s="386"/>
      <c r="G1109" s="386"/>
      <c r="H1109" s="386"/>
      <c r="I1109" s="386"/>
      <c r="J1109" s="386"/>
      <c r="K1109" s="386"/>
      <c r="L1109" s="386"/>
      <c r="M1109" s="387" t="e">
        <f>ORÇAMENTO!#REF!</f>
        <v>#REF!</v>
      </c>
    </row>
    <row r="1110" spans="1:28" customFormat="1" ht="12.75">
      <c r="A1110" s="136"/>
      <c r="B1110" s="149"/>
      <c r="C1110" s="150"/>
      <c r="D1110" s="150"/>
      <c r="E1110" s="150"/>
      <c r="F1110" s="150"/>
      <c r="G1110" s="150"/>
      <c r="H1110" s="150"/>
      <c r="I1110" s="150"/>
      <c r="J1110" s="150"/>
      <c r="K1110" s="150"/>
      <c r="L1110" s="150"/>
      <c r="M1110" s="151"/>
    </row>
    <row r="1111" spans="1:28" customFormat="1" ht="35.25" customHeight="1">
      <c r="A1111" s="134" t="str">
        <f>ORÇAMENTO!A183</f>
        <v>11.2.1</v>
      </c>
      <c r="B1111" s="135"/>
      <c r="C1111" s="383" t="str">
        <f>ORÇAMENTO!D183</f>
        <v>CHAPISCO COM ARGAMASSA, TRAÇO 1:3 (CIMENTO E AREIA), ESP. 5MM, APLICADO EM TETO COM COLHER, INCLUSIVE ARGAMASSA COM PREPARO MECANIZADO</v>
      </c>
      <c r="D1111" s="383"/>
      <c r="E1111" s="383"/>
      <c r="F1111" s="383"/>
      <c r="G1111" s="383"/>
      <c r="H1111" s="383"/>
      <c r="I1111" s="383"/>
      <c r="J1111" s="383"/>
      <c r="K1111" s="383"/>
      <c r="L1111" s="383"/>
      <c r="M1111" s="108" t="str">
        <f>ORÇAMENTO!E183</f>
        <v>M2</v>
      </c>
    </row>
    <row r="1112" spans="1:28" customFormat="1" ht="12.75">
      <c r="A1112" s="136"/>
      <c r="B1112" s="137"/>
      <c r="E1112" s="138"/>
      <c r="G1112" s="138"/>
      <c r="I1112" s="138"/>
      <c r="M1112" s="139"/>
    </row>
    <row r="1113" spans="1:28" s="10" customFormat="1" ht="12.75">
      <c r="A1113" s="209"/>
      <c r="B1113" s="87" t="s">
        <v>562</v>
      </c>
      <c r="D1113" s="88" t="s">
        <v>50</v>
      </c>
      <c r="E1113" s="89">
        <f>(89.833)+(2.492+2.545+5.066)</f>
        <v>99.935999999999993</v>
      </c>
      <c r="F1113" s="211"/>
      <c r="G1113" s="91"/>
      <c r="I1113" s="161"/>
      <c r="J1113" s="92"/>
      <c r="K1113" s="92"/>
      <c r="L1113" s="93" t="s">
        <v>50</v>
      </c>
      <c r="M1113" s="13">
        <f>E1113</f>
        <v>99.935999999999993</v>
      </c>
    </row>
    <row r="1114" spans="1:28" s="10" customFormat="1" ht="12.75">
      <c r="A1114" s="209"/>
      <c r="B1114" s="10" t="s">
        <v>577</v>
      </c>
      <c r="E1114" s="39" t="s">
        <v>382</v>
      </c>
      <c r="G1114" s="39"/>
      <c r="M1114" s="12"/>
    </row>
    <row r="1115" spans="1:28" s="10" customFormat="1">
      <c r="A1115" s="209"/>
      <c r="E1115" s="39"/>
      <c r="F1115" s="6"/>
      <c r="M1115" s="12"/>
    </row>
    <row r="1116" spans="1:28" customFormat="1" ht="12.75">
      <c r="A1116" s="136"/>
      <c r="B1116" s="87" t="s">
        <v>562</v>
      </c>
      <c r="D1116" s="140" t="s">
        <v>50</v>
      </c>
      <c r="E1116" s="141">
        <f>53.348</f>
        <v>53.347999999999999</v>
      </c>
      <c r="F1116" s="142"/>
      <c r="G1116" s="148"/>
      <c r="H1116" s="142"/>
      <c r="I1116" s="161"/>
      <c r="J1116" s="144"/>
      <c r="K1116" s="144"/>
      <c r="L1116" s="145" t="s">
        <v>50</v>
      </c>
      <c r="M1116" s="146">
        <f>E1116</f>
        <v>53.347999999999999</v>
      </c>
    </row>
    <row r="1117" spans="1:28" customFormat="1" ht="12.75">
      <c r="A1117" s="136"/>
      <c r="B1117" s="10" t="s">
        <v>645</v>
      </c>
      <c r="E1117" s="138" t="s">
        <v>121</v>
      </c>
      <c r="G1117" s="138"/>
      <c r="I1117" s="138"/>
      <c r="M1117" s="139"/>
    </row>
    <row r="1118" spans="1:28" customFormat="1" ht="12.75">
      <c r="A1118" s="136"/>
      <c r="B1118" s="137"/>
      <c r="E1118" s="138"/>
      <c r="G1118" s="138"/>
      <c r="I1118" s="138"/>
      <c r="M1118" s="139"/>
    </row>
    <row r="1119" spans="1:28" s="161" customFormat="1" ht="12.75">
      <c r="A1119" s="163"/>
      <c r="B1119" s="161" t="s">
        <v>10</v>
      </c>
      <c r="E1119" s="161" t="s">
        <v>149</v>
      </c>
      <c r="H1119" s="164"/>
      <c r="I1119" s="165" t="s">
        <v>265</v>
      </c>
      <c r="L1119" s="162" t="s">
        <v>50</v>
      </c>
      <c r="M1119" s="46">
        <f>SUM(M1113:M1116)</f>
        <v>153.28399999999999</v>
      </c>
    </row>
    <row r="1120" spans="1:28" customFormat="1" ht="12.75">
      <c r="A1120" s="136"/>
      <c r="B1120" s="137"/>
      <c r="E1120" s="138"/>
      <c r="G1120" s="138"/>
      <c r="I1120" s="138"/>
      <c r="M1120" s="139"/>
    </row>
    <row r="1121" spans="1:13" customFormat="1" ht="35.25" customHeight="1">
      <c r="A1121" s="134" t="str">
        <f>ORÇAMENTO!A184</f>
        <v>11.2.2</v>
      </c>
      <c r="B1121" s="135"/>
      <c r="C1121" s="383" t="str">
        <f>ORÇAMENTO!D184</f>
        <v>REVESTIMENTO COM ARGAMASSA EM CAMADA ÚNICA, APLICADO EM TETO, TRAÇO 1:3 (CIMENTO E AREIA), ESP. 20MM, APLICAÇÃO MANUAL, INCLUSIVE ARGAMASSA COM PREPARO MECANIZADO, EXCLUSIVE CHAPISCO</v>
      </c>
      <c r="D1121" s="383"/>
      <c r="E1121" s="383"/>
      <c r="F1121" s="383"/>
      <c r="G1121" s="383"/>
      <c r="H1121" s="383"/>
      <c r="I1121" s="383"/>
      <c r="J1121" s="383"/>
      <c r="K1121" s="383"/>
      <c r="L1121" s="383"/>
      <c r="M1121" s="108" t="str">
        <f>ORÇAMENTO!E184</f>
        <v>M2</v>
      </c>
    </row>
    <row r="1122" spans="1:13" customFormat="1" ht="12.75">
      <c r="A1122" s="136"/>
      <c r="B1122" s="137"/>
      <c r="E1122" s="138"/>
      <c r="G1122" s="138"/>
      <c r="I1122" s="138"/>
      <c r="M1122" s="139"/>
    </row>
    <row r="1123" spans="1:13" s="10" customFormat="1" ht="12.75">
      <c r="A1123" s="236"/>
      <c r="B1123" s="87" t="s">
        <v>562</v>
      </c>
      <c r="D1123" s="88" t="s">
        <v>50</v>
      </c>
      <c r="E1123" s="89">
        <f>(89.833)+(2.492+2.545+5.066)</f>
        <v>99.935999999999993</v>
      </c>
      <c r="F1123" s="238"/>
      <c r="G1123" s="91"/>
      <c r="I1123" s="161"/>
      <c r="J1123" s="92"/>
      <c r="K1123" s="92"/>
      <c r="L1123" s="93" t="s">
        <v>50</v>
      </c>
      <c r="M1123" s="13">
        <f>E1123</f>
        <v>99.935999999999993</v>
      </c>
    </row>
    <row r="1124" spans="1:13" s="10" customFormat="1" ht="12.75">
      <c r="A1124" s="236"/>
      <c r="B1124" s="10" t="s">
        <v>577</v>
      </c>
      <c r="E1124" s="39" t="s">
        <v>382</v>
      </c>
      <c r="G1124" s="39"/>
      <c r="M1124" s="12"/>
    </row>
    <row r="1125" spans="1:13" s="10" customFormat="1">
      <c r="A1125" s="236"/>
      <c r="E1125" s="39"/>
      <c r="F1125" s="6"/>
      <c r="M1125" s="12"/>
    </row>
    <row r="1126" spans="1:13" customFormat="1" ht="12.75">
      <c r="A1126" s="136"/>
      <c r="B1126" s="87" t="s">
        <v>562</v>
      </c>
      <c r="D1126" s="140" t="s">
        <v>50</v>
      </c>
      <c r="E1126" s="141">
        <f>53.348</f>
        <v>53.347999999999999</v>
      </c>
      <c r="F1126" s="142"/>
      <c r="G1126" s="148"/>
      <c r="H1126" s="142"/>
      <c r="I1126" s="161"/>
      <c r="J1126" s="144"/>
      <c r="K1126" s="144"/>
      <c r="L1126" s="145" t="s">
        <v>50</v>
      </c>
      <c r="M1126" s="146">
        <f>E1126</f>
        <v>53.347999999999999</v>
      </c>
    </row>
    <row r="1127" spans="1:13" customFormat="1" ht="12.75">
      <c r="A1127" s="136"/>
      <c r="B1127" s="10" t="s">
        <v>645</v>
      </c>
      <c r="E1127" s="138" t="s">
        <v>121</v>
      </c>
      <c r="G1127" s="138"/>
      <c r="I1127" s="138"/>
      <c r="M1127" s="139"/>
    </row>
    <row r="1128" spans="1:13" s="10" customFormat="1">
      <c r="A1128" s="236"/>
      <c r="E1128" s="39"/>
      <c r="F1128" s="6"/>
      <c r="M1128" s="12"/>
    </row>
    <row r="1129" spans="1:13" s="161" customFormat="1" ht="12.75">
      <c r="A1129" s="163"/>
      <c r="B1129" s="161" t="s">
        <v>10</v>
      </c>
      <c r="E1129" s="161" t="s">
        <v>149</v>
      </c>
      <c r="H1129" s="164"/>
      <c r="I1129" s="165"/>
      <c r="L1129" s="162" t="s">
        <v>50</v>
      </c>
      <c r="M1129" s="46">
        <f>SUM(M1123:M1126)</f>
        <v>153.28399999999999</v>
      </c>
    </row>
    <row r="1130" spans="1:13" customFormat="1" ht="12.75">
      <c r="A1130" s="136"/>
      <c r="B1130" s="137"/>
      <c r="E1130" s="138"/>
      <c r="G1130" s="138"/>
      <c r="I1130" s="138"/>
      <c r="M1130" s="139"/>
    </row>
    <row r="1131" spans="1:13" s="10" customFormat="1" ht="15">
      <c r="A1131" s="16" t="str">
        <f>ORÇAMENTO!A187</f>
        <v>12.</v>
      </c>
      <c r="B1131" s="85"/>
      <c r="C1131" s="384" t="str">
        <f>ORÇAMENTO!B187</f>
        <v>VIDROS</v>
      </c>
      <c r="D1131" s="384"/>
      <c r="E1131" s="384"/>
      <c r="F1131" s="384"/>
      <c r="G1131" s="384"/>
      <c r="H1131" s="384"/>
      <c r="I1131" s="384"/>
      <c r="J1131" s="384"/>
      <c r="K1131" s="384"/>
      <c r="L1131" s="384"/>
      <c r="M1131" s="385"/>
    </row>
    <row r="1132" spans="1:13" s="10" customFormat="1" ht="12.75">
      <c r="A1132" s="11"/>
      <c r="M1132" s="12"/>
    </row>
    <row r="1133" spans="1:13" s="10" customFormat="1" ht="39" customHeight="1">
      <c r="A1133" s="106" t="str">
        <f>ORÇAMENTO!A188</f>
        <v>12.1</v>
      </c>
      <c r="B1133" s="107"/>
      <c r="C1133" s="383" t="str">
        <f>ORÇAMENTO!D188</f>
        <v>ESPELHO CRISTAL, DIMENSÃO (60X90)CM, COM ESP. 4MM, EM ACABAMENTO LAPIDADO, INCLUSIVE FIXAÇÃO COM PARAFUSO TIPO FINESSON, FORNECIMENTO E INSTALAÇÃO</v>
      </c>
      <c r="D1133" s="383"/>
      <c r="E1133" s="383"/>
      <c r="F1133" s="383"/>
      <c r="G1133" s="383"/>
      <c r="H1133" s="383"/>
      <c r="I1133" s="383"/>
      <c r="J1133" s="383"/>
      <c r="K1133" s="383"/>
      <c r="L1133" s="383"/>
      <c r="M1133" s="108" t="str">
        <f>ORÇAMENTO!E188</f>
        <v>M2</v>
      </c>
    </row>
    <row r="1134" spans="1:13" s="10" customFormat="1" ht="12.75">
      <c r="A1134" s="11"/>
      <c r="M1134" s="12"/>
    </row>
    <row r="1135" spans="1:13" s="10" customFormat="1" ht="12.75">
      <c r="A1135" s="11"/>
      <c r="B1135" s="87" t="s">
        <v>642</v>
      </c>
      <c r="D1135" s="88" t="s">
        <v>50</v>
      </c>
      <c r="E1135" s="89">
        <v>1</v>
      </c>
      <c r="F1135" s="220"/>
      <c r="G1135" s="221"/>
      <c r="H1135" s="220"/>
      <c r="L1135" s="93" t="s">
        <v>50</v>
      </c>
      <c r="M1135" s="13">
        <f>E1135</f>
        <v>1</v>
      </c>
    </row>
    <row r="1136" spans="1:13" s="10" customFormat="1" ht="12.75">
      <c r="A1136" s="11"/>
      <c r="B1136" s="87" t="s">
        <v>645</v>
      </c>
      <c r="E1136" s="238" t="s">
        <v>219</v>
      </c>
      <c r="F1136" s="222"/>
      <c r="G1136" s="222"/>
      <c r="H1136" s="222"/>
      <c r="M1136" s="12"/>
    </row>
    <row r="1137" spans="1:13" s="10" customFormat="1" ht="12.75">
      <c r="A1137" s="11"/>
      <c r="B1137" s="87"/>
      <c r="F1137" s="222"/>
      <c r="G1137" s="222"/>
      <c r="H1137" s="222"/>
      <c r="M1137" s="12"/>
    </row>
    <row r="1138" spans="1:13" s="10" customFormat="1" ht="12.75">
      <c r="A1138" s="11"/>
      <c r="B1138" s="87" t="s">
        <v>846</v>
      </c>
      <c r="D1138" s="88" t="s">
        <v>50</v>
      </c>
      <c r="E1138" s="89">
        <v>2</v>
      </c>
      <c r="F1138" s="220"/>
      <c r="G1138" s="221"/>
      <c r="H1138" s="220"/>
      <c r="L1138" s="93" t="s">
        <v>50</v>
      </c>
      <c r="M1138" s="13">
        <f>E1138</f>
        <v>2</v>
      </c>
    </row>
    <row r="1139" spans="1:13" s="10" customFormat="1" ht="12.75">
      <c r="A1139" s="11"/>
      <c r="B1139" s="87" t="s">
        <v>577</v>
      </c>
      <c r="E1139" s="238" t="s">
        <v>219</v>
      </c>
      <c r="F1139" s="222"/>
      <c r="G1139" s="222"/>
      <c r="H1139" s="222"/>
      <c r="M1139" s="12"/>
    </row>
    <row r="1140" spans="1:13" s="10" customFormat="1" ht="12.75">
      <c r="A1140" s="11"/>
      <c r="E1140" s="222"/>
      <c r="F1140" s="222"/>
      <c r="G1140" s="222"/>
      <c r="H1140" s="222"/>
      <c r="M1140" s="12"/>
    </row>
    <row r="1141" spans="1:13" s="161" customFormat="1" ht="12.75">
      <c r="A1141" s="163"/>
      <c r="B1141" s="161" t="s">
        <v>10</v>
      </c>
      <c r="H1141" s="164"/>
      <c r="I1141" s="165" t="s">
        <v>265</v>
      </c>
      <c r="L1141" s="162" t="s">
        <v>50</v>
      </c>
      <c r="M1141" s="46">
        <f>SUM(M1135:M1138)</f>
        <v>3</v>
      </c>
    </row>
    <row r="1142" spans="1:13" s="10" customFormat="1" ht="12.75">
      <c r="A1142" s="11"/>
      <c r="M1142" s="12"/>
    </row>
    <row r="1143" spans="1:13" s="10" customFormat="1" ht="39" customHeight="1">
      <c r="A1143" s="106" t="str">
        <f>ORÇAMENTO!A189</f>
        <v>12.2</v>
      </c>
      <c r="B1143" s="107"/>
      <c r="C1143" s="383" t="str">
        <f>ORÇAMENTO!D189</f>
        <v>INSTALAÇÃO DE VIDRO IMPRESSO, E = 4 MM, EM ESQUADRIA DE ALUMÍNIO OU PVC, FIXADO COM BAGUETE. AF_01/2021_PS</v>
      </c>
      <c r="D1143" s="383"/>
      <c r="E1143" s="383"/>
      <c r="F1143" s="383"/>
      <c r="G1143" s="383"/>
      <c r="H1143" s="383"/>
      <c r="I1143" s="383"/>
      <c r="J1143" s="383"/>
      <c r="K1143" s="383"/>
      <c r="L1143" s="383"/>
      <c r="M1143" s="108" t="str">
        <f>ORÇAMENTO!E189</f>
        <v>M2</v>
      </c>
    </row>
    <row r="1144" spans="1:13" s="10" customFormat="1" ht="12.75">
      <c r="A1144" s="11"/>
      <c r="M1144" s="12"/>
    </row>
    <row r="1145" spans="1:13" s="10" customFormat="1" ht="12.75">
      <c r="A1145" s="11"/>
      <c r="B1145" s="10" t="s">
        <v>909</v>
      </c>
      <c r="D1145" s="88" t="s">
        <v>50</v>
      </c>
      <c r="E1145" s="89">
        <f>2.9-0.25-0.25</f>
        <v>2.4</v>
      </c>
      <c r="F1145" s="266" t="s">
        <v>69</v>
      </c>
      <c r="G1145" s="89">
        <f>3-(1.2+0.4+0.2)</f>
        <v>1.2</v>
      </c>
      <c r="H1145" s="266"/>
      <c r="I1145" s="91"/>
      <c r="J1145" s="92"/>
      <c r="K1145" s="92"/>
      <c r="L1145" s="93" t="s">
        <v>50</v>
      </c>
      <c r="M1145" s="13">
        <f>E1145*G1145</f>
        <v>2.88</v>
      </c>
    </row>
    <row r="1146" spans="1:13" s="10" customFormat="1" ht="12.75">
      <c r="A1146" s="11"/>
      <c r="B1146" s="10" t="s">
        <v>548</v>
      </c>
      <c r="E1146" s="39" t="s">
        <v>56</v>
      </c>
      <c r="G1146" s="39" t="s">
        <v>264</v>
      </c>
      <c r="I1146" s="39"/>
      <c r="M1146" s="12"/>
    </row>
    <row r="1147" spans="1:13" s="10" customFormat="1" ht="12.75" customHeight="1">
      <c r="A1147" s="11"/>
      <c r="B1147" s="87"/>
      <c r="E1147" s="39"/>
      <c r="G1147" s="39"/>
      <c r="I1147" s="39"/>
      <c r="M1147" s="12"/>
    </row>
    <row r="1148" spans="1:13" s="10" customFormat="1" ht="12.75">
      <c r="A1148" s="11"/>
      <c r="B1148" s="10" t="s">
        <v>908</v>
      </c>
      <c r="D1148" s="88" t="s">
        <v>50</v>
      </c>
      <c r="E1148" s="89">
        <v>1.5</v>
      </c>
      <c r="F1148" s="266" t="s">
        <v>69</v>
      </c>
      <c r="G1148" s="89">
        <f>3-(1.2+0.4+0.2)</f>
        <v>1.2</v>
      </c>
      <c r="H1148" s="266"/>
      <c r="I1148" s="91"/>
      <c r="J1148" s="92"/>
      <c r="K1148" s="92"/>
      <c r="L1148" s="93" t="s">
        <v>50</v>
      </c>
      <c r="M1148" s="13">
        <f>E1148*G1148</f>
        <v>1.7999999999999998</v>
      </c>
    </row>
    <row r="1149" spans="1:13" s="10" customFormat="1" ht="12.75">
      <c r="A1149" s="11"/>
      <c r="B1149" s="10" t="s">
        <v>548</v>
      </c>
      <c r="E1149" s="39" t="s">
        <v>56</v>
      </c>
      <c r="G1149" s="39" t="s">
        <v>264</v>
      </c>
      <c r="I1149" s="39"/>
      <c r="M1149" s="12"/>
    </row>
    <row r="1150" spans="1:13" s="10" customFormat="1" ht="12.75" customHeight="1">
      <c r="A1150" s="11"/>
      <c r="B1150" s="87"/>
      <c r="E1150" s="39"/>
      <c r="G1150" s="39"/>
      <c r="I1150" s="39"/>
      <c r="M1150" s="12"/>
    </row>
    <row r="1151" spans="1:13" s="161" customFormat="1" ht="12.75">
      <c r="A1151" s="163"/>
      <c r="B1151" s="161" t="s">
        <v>10</v>
      </c>
      <c r="H1151" s="164"/>
      <c r="I1151" s="165" t="s">
        <v>265</v>
      </c>
      <c r="L1151" s="162" t="s">
        <v>50</v>
      </c>
      <c r="M1151" s="46">
        <f>SUM(M1145:M1148)</f>
        <v>4.68</v>
      </c>
    </row>
    <row r="1152" spans="1:13" s="10" customFormat="1" ht="12.75">
      <c r="A1152" s="11"/>
      <c r="M1152" s="12"/>
    </row>
    <row r="1153" spans="1:13" s="10" customFormat="1" ht="15">
      <c r="A1153" s="16" t="str">
        <f>ORÇAMENTO!A191</f>
        <v>13.</v>
      </c>
      <c r="B1153" s="85"/>
      <c r="C1153" s="384" t="str">
        <f>ORÇAMENTO!B191</f>
        <v>PINTURA</v>
      </c>
      <c r="D1153" s="384"/>
      <c r="E1153" s="384"/>
      <c r="F1153" s="384"/>
      <c r="G1153" s="384"/>
      <c r="H1153" s="384"/>
      <c r="I1153" s="384"/>
      <c r="J1153" s="384"/>
      <c r="K1153" s="384"/>
      <c r="L1153" s="384"/>
      <c r="M1153" s="385"/>
    </row>
    <row r="1154" spans="1:13" s="10" customFormat="1" ht="12.75">
      <c r="A1154" s="11"/>
      <c r="M1154" s="12"/>
    </row>
    <row r="1155" spans="1:13" s="10" customFormat="1" ht="15">
      <c r="A1155" s="16" t="str">
        <f>ORÇAMENTO!A192</f>
        <v>13.1</v>
      </c>
      <c r="B1155" s="85"/>
      <c r="C1155" s="386" t="str">
        <f>ORÇAMENTO!C192</f>
        <v xml:space="preserve">PAREDES </v>
      </c>
      <c r="D1155" s="386"/>
      <c r="E1155" s="386"/>
      <c r="F1155" s="386"/>
      <c r="G1155" s="386"/>
      <c r="H1155" s="386"/>
      <c r="I1155" s="386"/>
      <c r="J1155" s="386"/>
      <c r="K1155" s="386"/>
      <c r="L1155" s="386"/>
      <c r="M1155" s="387"/>
    </row>
    <row r="1156" spans="1:13" s="10" customFormat="1" ht="12.75">
      <c r="A1156" s="11"/>
      <c r="M1156" s="12"/>
    </row>
    <row r="1157" spans="1:13" s="10" customFormat="1" ht="26.25" customHeight="1">
      <c r="A1157" s="106" t="str">
        <f>ORÇAMENTO!A193</f>
        <v>13.1.1</v>
      </c>
      <c r="B1157" s="107"/>
      <c r="C1157" s="383" t="str">
        <f>ORÇAMENTO!D193</f>
        <v>PINTURA LÁTEX (PVA) EM PAREDE, DUAS (2) DEMÃOS, EXCLUSIVE SELADOR ACRÍLICO E MASSA ACRÍLICA/CORRIDA (PVA)</v>
      </c>
      <c r="D1157" s="383"/>
      <c r="E1157" s="383"/>
      <c r="F1157" s="383"/>
      <c r="G1157" s="383"/>
      <c r="H1157" s="383"/>
      <c r="I1157" s="383"/>
      <c r="J1157" s="383"/>
      <c r="K1157" s="383"/>
      <c r="L1157" s="383"/>
      <c r="M1157" s="108" t="str">
        <f>ORÇAMENTO!E193</f>
        <v>M2</v>
      </c>
    </row>
    <row r="1158" spans="1:13" customFormat="1" ht="12.75">
      <c r="A1158" s="136"/>
      <c r="B1158" s="137"/>
      <c r="E1158" s="138"/>
      <c r="G1158" s="138"/>
      <c r="I1158" s="138"/>
      <c r="M1158" s="139"/>
    </row>
    <row r="1159" spans="1:13" s="10" customFormat="1" ht="12.75">
      <c r="A1159" s="11"/>
      <c r="B1159" s="10" t="s">
        <v>222</v>
      </c>
      <c r="D1159" s="88" t="s">
        <v>50</v>
      </c>
      <c r="E1159" s="89">
        <f>26.63+26.03</f>
        <v>52.66</v>
      </c>
      <c r="F1159" s="238" t="s">
        <v>69</v>
      </c>
      <c r="G1159" s="89">
        <v>0.5</v>
      </c>
      <c r="H1159" s="238"/>
      <c r="I1159" s="153" t="s">
        <v>844</v>
      </c>
      <c r="J1159" s="92"/>
      <c r="K1159" s="92"/>
      <c r="L1159" s="93" t="s">
        <v>50</v>
      </c>
      <c r="M1159" s="13">
        <f>E1159*G1159</f>
        <v>26.33</v>
      </c>
    </row>
    <row r="1160" spans="1:13" s="10" customFormat="1" ht="12.75">
      <c r="A1160" s="11"/>
      <c r="B1160" s="10" t="s">
        <v>615</v>
      </c>
      <c r="E1160" s="99" t="s">
        <v>120</v>
      </c>
      <c r="G1160" s="99" t="s">
        <v>264</v>
      </c>
      <c r="I1160" s="99"/>
      <c r="M1160" s="12"/>
    </row>
    <row r="1161" spans="1:13" s="10" customFormat="1" ht="12.75" customHeight="1">
      <c r="A1161" s="11"/>
      <c r="E1161" s="99"/>
      <c r="G1161" s="99"/>
      <c r="I1161" s="99"/>
      <c r="M1161" s="12"/>
    </row>
    <row r="1162" spans="1:13" s="10" customFormat="1" ht="12.75">
      <c r="A1162" s="11"/>
      <c r="B1162" s="10" t="s">
        <v>222</v>
      </c>
      <c r="D1162" s="88" t="s">
        <v>50</v>
      </c>
      <c r="E1162" s="89">
        <f>3.95</f>
        <v>3.95</v>
      </c>
      <c r="F1162" s="220"/>
      <c r="G1162" s="221"/>
      <c r="H1162" s="238"/>
      <c r="I1162" s="153" t="s">
        <v>845</v>
      </c>
      <c r="J1162" s="92"/>
      <c r="K1162" s="92"/>
      <c r="L1162" s="93" t="s">
        <v>50</v>
      </c>
      <c r="M1162" s="13">
        <f>E1162</f>
        <v>3.95</v>
      </c>
    </row>
    <row r="1163" spans="1:13" s="10" customFormat="1" ht="12.75">
      <c r="A1163" s="11"/>
      <c r="B1163" s="10" t="s">
        <v>616</v>
      </c>
      <c r="E1163" s="99" t="s">
        <v>843</v>
      </c>
      <c r="F1163" s="222"/>
      <c r="G1163" s="234"/>
      <c r="I1163" s="99"/>
      <c r="M1163" s="12"/>
    </row>
    <row r="1164" spans="1:13" s="10" customFormat="1" ht="12.75" customHeight="1">
      <c r="A1164" s="11"/>
      <c r="E1164" s="99"/>
      <c r="G1164" s="99"/>
      <c r="I1164" s="99"/>
      <c r="M1164" s="12"/>
    </row>
    <row r="1165" spans="1:13" s="10" customFormat="1" ht="12.75">
      <c r="A1165" s="11"/>
      <c r="B1165" s="10" t="s">
        <v>200</v>
      </c>
      <c r="D1165" s="88" t="s">
        <v>50</v>
      </c>
      <c r="E1165" s="89">
        <f>(25.2)+(24.02+2.98+8.76)</f>
        <v>60.959999999999994</v>
      </c>
      <c r="F1165" s="238" t="s">
        <v>69</v>
      </c>
      <c r="G1165" s="89">
        <v>3.15</v>
      </c>
      <c r="I1165" s="94" t="s">
        <v>565</v>
      </c>
      <c r="J1165" s="92"/>
      <c r="K1165" s="92"/>
      <c r="L1165" s="93" t="s">
        <v>50</v>
      </c>
      <c r="M1165" s="13">
        <f>E1165*G1165</f>
        <v>192.02399999999997</v>
      </c>
    </row>
    <row r="1166" spans="1:13" s="10" customFormat="1" ht="12.75">
      <c r="A1166" s="11"/>
      <c r="B1166" s="10" t="s">
        <v>615</v>
      </c>
      <c r="E1166" s="99" t="s">
        <v>120</v>
      </c>
      <c r="G1166" s="99" t="s">
        <v>264</v>
      </c>
      <c r="I1166" s="99"/>
      <c r="M1166" s="12"/>
    </row>
    <row r="1167" spans="1:13" s="10" customFormat="1" ht="12.75" customHeight="1">
      <c r="A1167" s="11"/>
      <c r="E1167" s="99"/>
      <c r="G1167" s="99"/>
      <c r="I1167" s="99"/>
      <c r="M1167" s="12"/>
    </row>
    <row r="1168" spans="1:13" s="10" customFormat="1" ht="12.75">
      <c r="A1168" s="11"/>
      <c r="B1168" s="10" t="s">
        <v>200</v>
      </c>
      <c r="D1168" s="88" t="s">
        <v>50</v>
      </c>
      <c r="E1168" s="89">
        <f>3.5+3.84</f>
        <v>7.34</v>
      </c>
      <c r="F1168" s="238" t="s">
        <v>69</v>
      </c>
      <c r="G1168" s="89">
        <v>1.1499999999999999</v>
      </c>
      <c r="I1168" s="94" t="s">
        <v>564</v>
      </c>
      <c r="J1168" s="92"/>
      <c r="K1168" s="92"/>
      <c r="L1168" s="93" t="s">
        <v>50</v>
      </c>
      <c r="M1168" s="13">
        <f>E1168*G1168</f>
        <v>8.4409999999999989</v>
      </c>
    </row>
    <row r="1169" spans="1:13" s="10" customFormat="1" ht="12.75">
      <c r="A1169" s="11"/>
      <c r="B1169" s="10" t="s">
        <v>615</v>
      </c>
      <c r="E1169" s="99" t="s">
        <v>120</v>
      </c>
      <c r="G1169" s="99" t="s">
        <v>264</v>
      </c>
      <c r="I1169" s="99"/>
      <c r="M1169" s="12"/>
    </row>
    <row r="1170" spans="1:13" s="10" customFormat="1" ht="12.75" customHeight="1">
      <c r="A1170" s="11"/>
      <c r="E1170" s="99"/>
      <c r="G1170" s="99"/>
      <c r="I1170" s="99"/>
      <c r="M1170" s="12"/>
    </row>
    <row r="1171" spans="1:13" s="10" customFormat="1" ht="12.75">
      <c r="A1171" s="11"/>
      <c r="B1171" s="10" t="s">
        <v>561</v>
      </c>
      <c r="D1171" s="88" t="s">
        <v>50</v>
      </c>
      <c r="E1171" s="89">
        <f>19.63+4.6</f>
        <v>24.229999999999997</v>
      </c>
      <c r="F1171" s="238" t="s">
        <v>69</v>
      </c>
      <c r="G1171" s="89">
        <v>1.55</v>
      </c>
      <c r="I1171" s="94" t="s">
        <v>567</v>
      </c>
      <c r="J1171" s="92"/>
      <c r="K1171" s="92"/>
      <c r="L1171" s="93" t="s">
        <v>50</v>
      </c>
      <c r="M1171" s="13">
        <f>E1171*G1171</f>
        <v>37.5565</v>
      </c>
    </row>
    <row r="1172" spans="1:13" s="10" customFormat="1" ht="12.75">
      <c r="A1172" s="11"/>
      <c r="B1172" s="10" t="s">
        <v>615</v>
      </c>
      <c r="E1172" s="99" t="s">
        <v>120</v>
      </c>
      <c r="G1172" s="99" t="s">
        <v>264</v>
      </c>
      <c r="I1172" s="99"/>
      <c r="M1172" s="12"/>
    </row>
    <row r="1173" spans="1:13" s="10" customFormat="1" ht="12.75" customHeight="1">
      <c r="A1173" s="11"/>
      <c r="E1173" s="99"/>
      <c r="G1173" s="99"/>
      <c r="I1173" s="99"/>
      <c r="M1173" s="12"/>
    </row>
    <row r="1174" spans="1:13" s="10" customFormat="1" ht="12.75">
      <c r="A1174" s="11"/>
      <c r="B1174" s="10" t="s">
        <v>222</v>
      </c>
      <c r="D1174" s="88" t="s">
        <v>50</v>
      </c>
      <c r="E1174" s="89">
        <f>16.121+15.241</f>
        <v>31.361999999999998</v>
      </c>
      <c r="F1174" s="238" t="s">
        <v>69</v>
      </c>
      <c r="G1174" s="89">
        <v>0.5</v>
      </c>
      <c r="H1174" s="238"/>
      <c r="I1174" s="153" t="s">
        <v>844</v>
      </c>
      <c r="J1174" s="92"/>
      <c r="K1174" s="92"/>
      <c r="L1174" s="93" t="s">
        <v>50</v>
      </c>
      <c r="M1174" s="13">
        <f>E1174*G1174</f>
        <v>15.680999999999999</v>
      </c>
    </row>
    <row r="1175" spans="1:13" s="10" customFormat="1" ht="12.75">
      <c r="A1175" s="11"/>
      <c r="B1175" s="10" t="s">
        <v>616</v>
      </c>
      <c r="E1175" s="99" t="s">
        <v>120</v>
      </c>
      <c r="G1175" s="99" t="s">
        <v>264</v>
      </c>
      <c r="I1175" s="99"/>
      <c r="M1175" s="12"/>
    </row>
    <row r="1176" spans="1:13" s="10" customFormat="1" ht="12.75" customHeight="1">
      <c r="A1176" s="11"/>
      <c r="E1176" s="99"/>
      <c r="G1176" s="99"/>
      <c r="I1176" s="99"/>
      <c r="M1176" s="12"/>
    </row>
    <row r="1177" spans="1:13" s="10" customFormat="1" ht="12.75">
      <c r="A1177" s="11"/>
      <c r="B1177" s="10" t="s">
        <v>222</v>
      </c>
      <c r="D1177" s="88" t="s">
        <v>50</v>
      </c>
      <c r="E1177" s="89">
        <f>3.389</f>
        <v>3.3889999999999998</v>
      </c>
      <c r="F1177" s="220"/>
      <c r="G1177" s="221"/>
      <c r="H1177" s="238"/>
      <c r="I1177" s="153" t="s">
        <v>845</v>
      </c>
      <c r="J1177" s="92"/>
      <c r="K1177" s="92"/>
      <c r="L1177" s="93" t="s">
        <v>50</v>
      </c>
      <c r="M1177" s="13">
        <f>E1177</f>
        <v>3.3889999999999998</v>
      </c>
    </row>
    <row r="1178" spans="1:13" s="10" customFormat="1" ht="12.75">
      <c r="A1178" s="11"/>
      <c r="B1178" s="10" t="s">
        <v>616</v>
      </c>
      <c r="E1178" s="99" t="s">
        <v>843</v>
      </c>
      <c r="F1178" s="222"/>
      <c r="G1178" s="234"/>
      <c r="I1178" s="99"/>
      <c r="M1178" s="12"/>
    </row>
    <row r="1179" spans="1:13" s="10" customFormat="1" ht="12.75" customHeight="1">
      <c r="A1179" s="11"/>
      <c r="E1179" s="99"/>
      <c r="G1179" s="99"/>
      <c r="I1179" s="99"/>
      <c r="M1179" s="12"/>
    </row>
    <row r="1180" spans="1:13" s="10" customFormat="1" ht="12.75">
      <c r="A1180" s="11"/>
      <c r="B1180" s="10" t="s">
        <v>200</v>
      </c>
      <c r="D1180" s="88" t="s">
        <v>50</v>
      </c>
      <c r="E1180" s="89">
        <f>(12.188+32.97+16.9)+(16.185)</f>
        <v>78.242999999999995</v>
      </c>
      <c r="F1180" s="238" t="s">
        <v>69</v>
      </c>
      <c r="G1180" s="89">
        <v>3.15</v>
      </c>
      <c r="I1180" s="94"/>
      <c r="J1180" s="92"/>
      <c r="K1180" s="92"/>
      <c r="L1180" s="93" t="s">
        <v>50</v>
      </c>
      <c r="M1180" s="13">
        <f>E1180*G1180</f>
        <v>246.46544999999998</v>
      </c>
    </row>
    <row r="1181" spans="1:13" s="10" customFormat="1" ht="12.75">
      <c r="A1181" s="11"/>
      <c r="B1181" s="10" t="s">
        <v>616</v>
      </c>
      <c r="E1181" s="99" t="s">
        <v>120</v>
      </c>
      <c r="G1181" s="99" t="s">
        <v>264</v>
      </c>
      <c r="I1181" s="99"/>
      <c r="M1181" s="12"/>
    </row>
    <row r="1182" spans="1:13" s="10" customFormat="1" ht="12.75" customHeight="1">
      <c r="A1182" s="11"/>
      <c r="E1182" s="99"/>
      <c r="G1182" s="99"/>
      <c r="I1182" s="99"/>
      <c r="M1182" s="12"/>
    </row>
    <row r="1183" spans="1:13" s="10" customFormat="1" ht="12.75">
      <c r="A1183" s="11"/>
      <c r="B1183" s="10" t="s">
        <v>561</v>
      </c>
      <c r="D1183" s="88" t="s">
        <v>50</v>
      </c>
      <c r="E1183" s="89">
        <f>(15.676+5.49+12.132)+(16.9)</f>
        <v>50.198</v>
      </c>
      <c r="F1183" s="238" t="s">
        <v>69</v>
      </c>
      <c r="G1183" s="89">
        <v>1.67</v>
      </c>
      <c r="I1183" s="94" t="s">
        <v>567</v>
      </c>
      <c r="J1183" s="92"/>
      <c r="K1183" s="92"/>
      <c r="L1183" s="93" t="s">
        <v>50</v>
      </c>
      <c r="M1183" s="13">
        <f>E1183*G1183</f>
        <v>83.830659999999995</v>
      </c>
    </row>
    <row r="1184" spans="1:13" s="10" customFormat="1" ht="12.75">
      <c r="A1184" s="11"/>
      <c r="B1184" s="10" t="s">
        <v>616</v>
      </c>
      <c r="E1184" s="99" t="s">
        <v>120</v>
      </c>
      <c r="G1184" s="99" t="s">
        <v>264</v>
      </c>
      <c r="I1184" s="99"/>
      <c r="M1184" s="12"/>
    </row>
    <row r="1185" spans="1:13" s="10" customFormat="1" ht="12.75" customHeight="1">
      <c r="A1185" s="11"/>
      <c r="E1185" s="99"/>
      <c r="G1185" s="99"/>
      <c r="I1185" s="99"/>
      <c r="M1185" s="12"/>
    </row>
    <row r="1186" spans="1:13" s="161" customFormat="1" ht="12.75">
      <c r="A1186" s="163"/>
      <c r="B1186" s="161" t="s">
        <v>10</v>
      </c>
      <c r="E1186" s="161" t="s">
        <v>149</v>
      </c>
      <c r="H1186" s="164"/>
      <c r="I1186" s="165" t="s">
        <v>265</v>
      </c>
      <c r="L1186" s="162" t="s">
        <v>50</v>
      </c>
      <c r="M1186" s="46">
        <f>SUM(M1159:M1183)</f>
        <v>617.66760999999985</v>
      </c>
    </row>
    <row r="1187" spans="1:13" customFormat="1" ht="12.75">
      <c r="A1187" s="136"/>
      <c r="B1187" s="137"/>
      <c r="E1187" s="138"/>
      <c r="G1187" s="138"/>
      <c r="I1187" s="138"/>
      <c r="M1187" s="139"/>
    </row>
    <row r="1188" spans="1:13" s="10" customFormat="1" ht="26.25" customHeight="1">
      <c r="A1188" s="38" t="str">
        <f>ORÇAMENTO!A194</f>
        <v>13.1.2</v>
      </c>
      <c r="B1188" s="86"/>
      <c r="C1188" s="388" t="str">
        <f>ORÇAMENTO!D194</f>
        <v>EMASSAMENTO EM PAREDE COM MASSA CORRIDA (PVA), DUAS (2) DEMÃOS, INCLUSIVE LIXAMENTO PARA PINTURA</v>
      </c>
      <c r="D1188" s="388"/>
      <c r="E1188" s="388"/>
      <c r="F1188" s="388"/>
      <c r="G1188" s="388"/>
      <c r="H1188" s="388"/>
      <c r="I1188" s="388"/>
      <c r="J1188" s="388"/>
      <c r="K1188" s="388"/>
      <c r="L1188" s="388"/>
      <c r="M1188" s="47" t="str">
        <f>ORÇAMENTO!E194</f>
        <v>M2</v>
      </c>
    </row>
    <row r="1189" spans="1:13" s="10" customFormat="1" ht="12.75">
      <c r="A1189" s="11"/>
      <c r="M1189" s="12"/>
    </row>
    <row r="1190" spans="1:13" s="10" customFormat="1" ht="12.75">
      <c r="A1190" s="11"/>
      <c r="B1190" s="10" t="s">
        <v>222</v>
      </c>
      <c r="D1190" s="88" t="s">
        <v>50</v>
      </c>
      <c r="E1190" s="89">
        <f>26.63+26.03</f>
        <v>52.66</v>
      </c>
      <c r="F1190" s="238" t="s">
        <v>69</v>
      </c>
      <c r="G1190" s="89">
        <v>0.5</v>
      </c>
      <c r="H1190" s="238"/>
      <c r="I1190" s="153" t="s">
        <v>844</v>
      </c>
      <c r="J1190" s="92"/>
      <c r="K1190" s="92"/>
      <c r="L1190" s="93" t="s">
        <v>50</v>
      </c>
      <c r="M1190" s="13">
        <f>E1190*G1190</f>
        <v>26.33</v>
      </c>
    </row>
    <row r="1191" spans="1:13" s="10" customFormat="1" ht="12.75">
      <c r="A1191" s="11"/>
      <c r="B1191" s="10" t="s">
        <v>615</v>
      </c>
      <c r="E1191" s="99" t="s">
        <v>120</v>
      </c>
      <c r="G1191" s="99" t="s">
        <v>264</v>
      </c>
      <c r="I1191" s="99"/>
      <c r="M1191" s="12"/>
    </row>
    <row r="1192" spans="1:13" s="10" customFormat="1" ht="12.75" customHeight="1">
      <c r="A1192" s="11"/>
      <c r="E1192" s="99"/>
      <c r="G1192" s="99"/>
      <c r="I1192" s="99"/>
      <c r="M1192" s="12"/>
    </row>
    <row r="1193" spans="1:13" s="10" customFormat="1" ht="12.75">
      <c r="A1193" s="11"/>
      <c r="B1193" s="10" t="s">
        <v>222</v>
      </c>
      <c r="D1193" s="88" t="s">
        <v>50</v>
      </c>
      <c r="E1193" s="89">
        <f>3.95</f>
        <v>3.95</v>
      </c>
      <c r="F1193" s="220"/>
      <c r="G1193" s="221"/>
      <c r="H1193" s="238"/>
      <c r="I1193" s="153" t="s">
        <v>845</v>
      </c>
      <c r="J1193" s="92"/>
      <c r="K1193" s="92"/>
      <c r="L1193" s="93" t="s">
        <v>50</v>
      </c>
      <c r="M1193" s="13">
        <f>E1193</f>
        <v>3.95</v>
      </c>
    </row>
    <row r="1194" spans="1:13" s="10" customFormat="1" ht="12.75">
      <c r="A1194" s="11"/>
      <c r="B1194" s="10" t="s">
        <v>616</v>
      </c>
      <c r="E1194" s="99" t="s">
        <v>843</v>
      </c>
      <c r="F1194" s="222"/>
      <c r="G1194" s="234"/>
      <c r="I1194" s="99"/>
      <c r="M1194" s="12"/>
    </row>
    <row r="1195" spans="1:13" s="10" customFormat="1" ht="12.75" customHeight="1">
      <c r="A1195" s="11"/>
      <c r="E1195" s="99"/>
      <c r="G1195" s="99"/>
      <c r="I1195" s="99"/>
      <c r="M1195" s="12"/>
    </row>
    <row r="1196" spans="1:13" s="10" customFormat="1" ht="12.75">
      <c r="A1196" s="11"/>
      <c r="B1196" s="10" t="s">
        <v>200</v>
      </c>
      <c r="D1196" s="88" t="s">
        <v>50</v>
      </c>
      <c r="E1196" s="89">
        <f>(25.2)+(24.02+2.98+8.76)</f>
        <v>60.959999999999994</v>
      </c>
      <c r="F1196" s="238" t="s">
        <v>69</v>
      </c>
      <c r="G1196" s="89">
        <v>3.15</v>
      </c>
      <c r="I1196" s="94" t="s">
        <v>565</v>
      </c>
      <c r="J1196" s="92"/>
      <c r="K1196" s="92"/>
      <c r="L1196" s="93" t="s">
        <v>50</v>
      </c>
      <c r="M1196" s="13">
        <f>E1196*G1196</f>
        <v>192.02399999999997</v>
      </c>
    </row>
    <row r="1197" spans="1:13" s="10" customFormat="1" ht="12.75">
      <c r="A1197" s="11"/>
      <c r="B1197" s="10" t="s">
        <v>615</v>
      </c>
      <c r="E1197" s="99" t="s">
        <v>120</v>
      </c>
      <c r="G1197" s="99" t="s">
        <v>264</v>
      </c>
      <c r="I1197" s="99"/>
      <c r="M1197" s="12"/>
    </row>
    <row r="1198" spans="1:13" s="10" customFormat="1" ht="12.75" customHeight="1">
      <c r="A1198" s="11"/>
      <c r="E1198" s="99"/>
      <c r="G1198" s="99"/>
      <c r="I1198" s="99"/>
      <c r="M1198" s="12"/>
    </row>
    <row r="1199" spans="1:13" s="10" customFormat="1" ht="12.75">
      <c r="A1199" s="11"/>
      <c r="B1199" s="10" t="s">
        <v>200</v>
      </c>
      <c r="D1199" s="88" t="s">
        <v>50</v>
      </c>
      <c r="E1199" s="89">
        <f>3.5+3.84</f>
        <v>7.34</v>
      </c>
      <c r="F1199" s="238" t="s">
        <v>69</v>
      </c>
      <c r="G1199" s="89">
        <v>1.1499999999999999</v>
      </c>
      <c r="I1199" s="94" t="s">
        <v>564</v>
      </c>
      <c r="J1199" s="92"/>
      <c r="K1199" s="92"/>
      <c r="L1199" s="93" t="s">
        <v>50</v>
      </c>
      <c r="M1199" s="13">
        <f>E1199*G1199</f>
        <v>8.4409999999999989</v>
      </c>
    </row>
    <row r="1200" spans="1:13" s="10" customFormat="1" ht="12.75">
      <c r="A1200" s="11"/>
      <c r="B1200" s="10" t="s">
        <v>615</v>
      </c>
      <c r="E1200" s="99" t="s">
        <v>120</v>
      </c>
      <c r="G1200" s="99" t="s">
        <v>264</v>
      </c>
      <c r="I1200" s="99"/>
      <c r="M1200" s="12"/>
    </row>
    <row r="1201" spans="1:13" s="10" customFormat="1" ht="12.75" customHeight="1">
      <c r="A1201" s="11"/>
      <c r="E1201" s="99"/>
      <c r="G1201" s="99"/>
      <c r="I1201" s="99"/>
      <c r="M1201" s="12"/>
    </row>
    <row r="1202" spans="1:13" s="10" customFormat="1" ht="12.75">
      <c r="A1202" s="11"/>
      <c r="B1202" s="10" t="s">
        <v>561</v>
      </c>
      <c r="D1202" s="88" t="s">
        <v>50</v>
      </c>
      <c r="E1202" s="89">
        <f>19.63+4.6</f>
        <v>24.229999999999997</v>
      </c>
      <c r="F1202" s="238" t="s">
        <v>69</v>
      </c>
      <c r="G1202" s="89">
        <v>1.55</v>
      </c>
      <c r="I1202" s="94" t="s">
        <v>567</v>
      </c>
      <c r="J1202" s="92"/>
      <c r="K1202" s="92"/>
      <c r="L1202" s="93" t="s">
        <v>50</v>
      </c>
      <c r="M1202" s="13">
        <f>E1202*G1202</f>
        <v>37.5565</v>
      </c>
    </row>
    <row r="1203" spans="1:13" s="10" customFormat="1" ht="12.75">
      <c r="A1203" s="11"/>
      <c r="B1203" s="10" t="s">
        <v>615</v>
      </c>
      <c r="E1203" s="99" t="s">
        <v>120</v>
      </c>
      <c r="G1203" s="99" t="s">
        <v>264</v>
      </c>
      <c r="I1203" s="99"/>
      <c r="M1203" s="12"/>
    </row>
    <row r="1204" spans="1:13" s="10" customFormat="1" ht="12.75" customHeight="1">
      <c r="A1204" s="11"/>
      <c r="E1204" s="99"/>
      <c r="G1204" s="99"/>
      <c r="I1204" s="99"/>
      <c r="M1204" s="12"/>
    </row>
    <row r="1205" spans="1:13" s="10" customFormat="1" ht="12.75">
      <c r="A1205" s="11"/>
      <c r="B1205" s="10" t="s">
        <v>222</v>
      </c>
      <c r="D1205" s="88" t="s">
        <v>50</v>
      </c>
      <c r="E1205" s="89">
        <f>16.121+15.241</f>
        <v>31.361999999999998</v>
      </c>
      <c r="F1205" s="238" t="s">
        <v>69</v>
      </c>
      <c r="G1205" s="89">
        <v>0.5</v>
      </c>
      <c r="H1205" s="238"/>
      <c r="I1205" s="153" t="s">
        <v>844</v>
      </c>
      <c r="J1205" s="92"/>
      <c r="K1205" s="92"/>
      <c r="L1205" s="93" t="s">
        <v>50</v>
      </c>
      <c r="M1205" s="13">
        <f>E1205*G1205</f>
        <v>15.680999999999999</v>
      </c>
    </row>
    <row r="1206" spans="1:13" s="10" customFormat="1" ht="12.75">
      <c r="A1206" s="11"/>
      <c r="B1206" s="10" t="s">
        <v>616</v>
      </c>
      <c r="E1206" s="99" t="s">
        <v>120</v>
      </c>
      <c r="G1206" s="99" t="s">
        <v>264</v>
      </c>
      <c r="I1206" s="99"/>
      <c r="M1206" s="12"/>
    </row>
    <row r="1207" spans="1:13" s="10" customFormat="1" ht="12.75" customHeight="1">
      <c r="A1207" s="11"/>
      <c r="E1207" s="99"/>
      <c r="G1207" s="99"/>
      <c r="I1207" s="99"/>
      <c r="M1207" s="12"/>
    </row>
    <row r="1208" spans="1:13" s="10" customFormat="1" ht="12.75">
      <c r="A1208" s="11"/>
      <c r="B1208" s="10" t="s">
        <v>222</v>
      </c>
      <c r="D1208" s="88" t="s">
        <v>50</v>
      </c>
      <c r="E1208" s="89">
        <f>3.389</f>
        <v>3.3889999999999998</v>
      </c>
      <c r="F1208" s="220"/>
      <c r="G1208" s="221"/>
      <c r="H1208" s="238"/>
      <c r="I1208" s="153" t="s">
        <v>845</v>
      </c>
      <c r="J1208" s="92"/>
      <c r="K1208" s="92"/>
      <c r="L1208" s="93" t="s">
        <v>50</v>
      </c>
      <c r="M1208" s="13">
        <f>E1208</f>
        <v>3.3889999999999998</v>
      </c>
    </row>
    <row r="1209" spans="1:13" s="10" customFormat="1" ht="12.75">
      <c r="A1209" s="11"/>
      <c r="B1209" s="10" t="s">
        <v>616</v>
      </c>
      <c r="E1209" s="99" t="s">
        <v>843</v>
      </c>
      <c r="F1209" s="222"/>
      <c r="G1209" s="234"/>
      <c r="I1209" s="99"/>
      <c r="M1209" s="12"/>
    </row>
    <row r="1210" spans="1:13" s="10" customFormat="1" ht="12.75" customHeight="1">
      <c r="A1210" s="11"/>
      <c r="E1210" s="99"/>
      <c r="G1210" s="99"/>
      <c r="I1210" s="99"/>
      <c r="M1210" s="12"/>
    </row>
    <row r="1211" spans="1:13" s="10" customFormat="1" ht="12.75">
      <c r="A1211" s="11"/>
      <c r="B1211" s="10" t="s">
        <v>200</v>
      </c>
      <c r="D1211" s="88" t="s">
        <v>50</v>
      </c>
      <c r="E1211" s="89">
        <f>(12.188+32.97+16.9)+(16.185)</f>
        <v>78.242999999999995</v>
      </c>
      <c r="F1211" s="238" t="s">
        <v>69</v>
      </c>
      <c r="G1211" s="89">
        <v>3.15</v>
      </c>
      <c r="I1211" s="94"/>
      <c r="J1211" s="92"/>
      <c r="K1211" s="92"/>
      <c r="L1211" s="93" t="s">
        <v>50</v>
      </c>
      <c r="M1211" s="13">
        <f>E1211*G1211</f>
        <v>246.46544999999998</v>
      </c>
    </row>
    <row r="1212" spans="1:13" s="10" customFormat="1" ht="12.75">
      <c r="A1212" s="11"/>
      <c r="B1212" s="10" t="s">
        <v>616</v>
      </c>
      <c r="E1212" s="99" t="s">
        <v>120</v>
      </c>
      <c r="G1212" s="99" t="s">
        <v>264</v>
      </c>
      <c r="I1212" s="99"/>
      <c r="M1212" s="12"/>
    </row>
    <row r="1213" spans="1:13" s="10" customFormat="1" ht="12.75" customHeight="1">
      <c r="A1213" s="11"/>
      <c r="E1213" s="99"/>
      <c r="G1213" s="99"/>
      <c r="I1213" s="99"/>
      <c r="M1213" s="12"/>
    </row>
    <row r="1214" spans="1:13" s="10" customFormat="1" ht="12.75">
      <c r="A1214" s="11"/>
      <c r="B1214" s="10" t="s">
        <v>561</v>
      </c>
      <c r="D1214" s="88" t="s">
        <v>50</v>
      </c>
      <c r="E1214" s="89">
        <f>(15.676+5.49+12.132)+(16.9)</f>
        <v>50.198</v>
      </c>
      <c r="F1214" s="238" t="s">
        <v>69</v>
      </c>
      <c r="G1214" s="89">
        <v>1.67</v>
      </c>
      <c r="I1214" s="94" t="s">
        <v>567</v>
      </c>
      <c r="J1214" s="92"/>
      <c r="K1214" s="92"/>
      <c r="L1214" s="93" t="s">
        <v>50</v>
      </c>
      <c r="M1214" s="13">
        <f>E1214*G1214</f>
        <v>83.830659999999995</v>
      </c>
    </row>
    <row r="1215" spans="1:13" s="10" customFormat="1" ht="12.75">
      <c r="A1215" s="11"/>
      <c r="B1215" s="10" t="s">
        <v>616</v>
      </c>
      <c r="E1215" s="99" t="s">
        <v>120</v>
      </c>
      <c r="G1215" s="99" t="s">
        <v>264</v>
      </c>
      <c r="I1215" s="99"/>
      <c r="M1215" s="12"/>
    </row>
    <row r="1216" spans="1:13" s="10" customFormat="1" ht="12.75" customHeight="1">
      <c r="A1216" s="11"/>
      <c r="E1216" s="99"/>
      <c r="G1216" s="99"/>
      <c r="I1216" s="99"/>
      <c r="M1216" s="12"/>
    </row>
    <row r="1217" spans="1:13" s="161" customFormat="1" ht="12.75">
      <c r="A1217" s="163"/>
      <c r="B1217" s="161" t="s">
        <v>10</v>
      </c>
      <c r="E1217" s="161" t="s">
        <v>149</v>
      </c>
      <c r="H1217" s="164"/>
      <c r="I1217" s="165" t="s">
        <v>265</v>
      </c>
      <c r="L1217" s="162" t="s">
        <v>50</v>
      </c>
      <c r="M1217" s="46">
        <f>SUM(M1190:M1214)</f>
        <v>617.66760999999985</v>
      </c>
    </row>
    <row r="1218" spans="1:13" customFormat="1" ht="12.75">
      <c r="A1218" s="136"/>
      <c r="B1218" s="137"/>
      <c r="E1218" s="138"/>
      <c r="G1218" s="138"/>
      <c r="I1218" s="138"/>
      <c r="M1218" s="139"/>
    </row>
    <row r="1219" spans="1:13" s="10" customFormat="1" ht="26.25" customHeight="1">
      <c r="A1219" s="38" t="str">
        <f>ORÇAMENTO!A195</f>
        <v>13.1.3</v>
      </c>
      <c r="B1219" s="86"/>
      <c r="C1219" s="388" t="str">
        <f>ORÇAMENTO!D195</f>
        <v>FUNDO SELADOR ACRÍLICO, APLICAÇÃO MANUAL EM PAREDE, UMA DEMÃO. AF_04/2023</v>
      </c>
      <c r="D1219" s="388"/>
      <c r="E1219" s="388"/>
      <c r="F1219" s="388"/>
      <c r="G1219" s="388"/>
      <c r="H1219" s="388"/>
      <c r="I1219" s="388"/>
      <c r="J1219" s="388"/>
      <c r="K1219" s="388"/>
      <c r="L1219" s="388"/>
      <c r="M1219" s="47" t="str">
        <f>ORÇAMENTO!E195</f>
        <v>M2</v>
      </c>
    </row>
    <row r="1220" spans="1:13" s="10" customFormat="1" ht="12.75">
      <c r="A1220" s="11"/>
      <c r="M1220" s="12"/>
    </row>
    <row r="1221" spans="1:13" s="10" customFormat="1" ht="12.75">
      <c r="A1221" s="11"/>
      <c r="B1221" s="10" t="s">
        <v>222</v>
      </c>
      <c r="D1221" s="88" t="s">
        <v>50</v>
      </c>
      <c r="E1221" s="89">
        <f>26.63+26.03</f>
        <v>52.66</v>
      </c>
      <c r="F1221" s="238" t="s">
        <v>69</v>
      </c>
      <c r="G1221" s="89">
        <v>0.5</v>
      </c>
      <c r="H1221" s="238"/>
      <c r="I1221" s="153" t="s">
        <v>844</v>
      </c>
      <c r="J1221" s="92"/>
      <c r="K1221" s="92"/>
      <c r="L1221" s="93" t="s">
        <v>50</v>
      </c>
      <c r="M1221" s="13">
        <f>E1221*G1221</f>
        <v>26.33</v>
      </c>
    </row>
    <row r="1222" spans="1:13" s="10" customFormat="1" ht="12.75">
      <c r="A1222" s="11"/>
      <c r="B1222" s="10" t="s">
        <v>615</v>
      </c>
      <c r="E1222" s="99" t="s">
        <v>120</v>
      </c>
      <c r="G1222" s="99" t="s">
        <v>264</v>
      </c>
      <c r="I1222" s="99"/>
      <c r="M1222" s="12"/>
    </row>
    <row r="1223" spans="1:13" s="10" customFormat="1" ht="12.75" customHeight="1">
      <c r="A1223" s="11"/>
      <c r="E1223" s="99"/>
      <c r="G1223" s="99"/>
      <c r="I1223" s="99"/>
      <c r="M1223" s="12"/>
    </row>
    <row r="1224" spans="1:13" s="10" customFormat="1" ht="12.75">
      <c r="A1224" s="11"/>
      <c r="B1224" s="10" t="s">
        <v>222</v>
      </c>
      <c r="D1224" s="88" t="s">
        <v>50</v>
      </c>
      <c r="E1224" s="89">
        <f>3.95</f>
        <v>3.95</v>
      </c>
      <c r="F1224" s="220"/>
      <c r="G1224" s="221"/>
      <c r="H1224" s="238"/>
      <c r="I1224" s="153" t="s">
        <v>845</v>
      </c>
      <c r="J1224" s="92"/>
      <c r="K1224" s="92"/>
      <c r="L1224" s="93" t="s">
        <v>50</v>
      </c>
      <c r="M1224" s="13">
        <f>E1224</f>
        <v>3.95</v>
      </c>
    </row>
    <row r="1225" spans="1:13" s="10" customFormat="1" ht="12.75">
      <c r="A1225" s="11"/>
      <c r="B1225" s="10" t="s">
        <v>616</v>
      </c>
      <c r="E1225" s="99" t="s">
        <v>843</v>
      </c>
      <c r="F1225" s="222"/>
      <c r="G1225" s="234"/>
      <c r="I1225" s="99"/>
      <c r="M1225" s="12"/>
    </row>
    <row r="1226" spans="1:13" s="10" customFormat="1" ht="12.75" customHeight="1">
      <c r="A1226" s="11"/>
      <c r="E1226" s="99"/>
      <c r="G1226" s="99"/>
      <c r="I1226" s="99"/>
      <c r="M1226" s="12"/>
    </row>
    <row r="1227" spans="1:13" s="10" customFormat="1" ht="12.75">
      <c r="A1227" s="11"/>
      <c r="B1227" s="10" t="s">
        <v>200</v>
      </c>
      <c r="D1227" s="88" t="s">
        <v>50</v>
      </c>
      <c r="E1227" s="89">
        <f>(25.2)+(24.02+2.98+8.76)</f>
        <v>60.959999999999994</v>
      </c>
      <c r="F1227" s="238" t="s">
        <v>69</v>
      </c>
      <c r="G1227" s="89">
        <v>3.15</v>
      </c>
      <c r="I1227" s="94" t="s">
        <v>565</v>
      </c>
      <c r="J1227" s="92"/>
      <c r="K1227" s="92"/>
      <c r="L1227" s="93" t="s">
        <v>50</v>
      </c>
      <c r="M1227" s="13">
        <f>E1227*G1227</f>
        <v>192.02399999999997</v>
      </c>
    </row>
    <row r="1228" spans="1:13" s="10" customFormat="1" ht="12.75">
      <c r="A1228" s="11"/>
      <c r="B1228" s="10" t="s">
        <v>615</v>
      </c>
      <c r="E1228" s="99" t="s">
        <v>120</v>
      </c>
      <c r="G1228" s="99" t="s">
        <v>264</v>
      </c>
      <c r="I1228" s="99"/>
      <c r="M1228" s="12"/>
    </row>
    <row r="1229" spans="1:13" s="10" customFormat="1" ht="12.75" customHeight="1">
      <c r="A1229" s="11"/>
      <c r="E1229" s="99"/>
      <c r="G1229" s="99"/>
      <c r="I1229" s="99"/>
      <c r="M1229" s="12"/>
    </row>
    <row r="1230" spans="1:13" s="10" customFormat="1" ht="12.75">
      <c r="A1230" s="11"/>
      <c r="B1230" s="10" t="s">
        <v>200</v>
      </c>
      <c r="D1230" s="88" t="s">
        <v>50</v>
      </c>
      <c r="E1230" s="89">
        <f>3.5+3.84</f>
        <v>7.34</v>
      </c>
      <c r="F1230" s="238" t="s">
        <v>69</v>
      </c>
      <c r="G1230" s="89">
        <v>1.1499999999999999</v>
      </c>
      <c r="I1230" s="94" t="s">
        <v>564</v>
      </c>
      <c r="J1230" s="92"/>
      <c r="K1230" s="92"/>
      <c r="L1230" s="93" t="s">
        <v>50</v>
      </c>
      <c r="M1230" s="13">
        <f>E1230*G1230</f>
        <v>8.4409999999999989</v>
      </c>
    </row>
    <row r="1231" spans="1:13" s="10" customFormat="1" ht="12.75">
      <c r="A1231" s="11"/>
      <c r="B1231" s="10" t="s">
        <v>615</v>
      </c>
      <c r="E1231" s="99" t="s">
        <v>120</v>
      </c>
      <c r="G1231" s="99" t="s">
        <v>264</v>
      </c>
      <c r="I1231" s="99"/>
      <c r="M1231" s="12"/>
    </row>
    <row r="1232" spans="1:13" s="10" customFormat="1" ht="12.75" customHeight="1">
      <c r="A1232" s="11"/>
      <c r="E1232" s="99"/>
      <c r="G1232" s="99"/>
      <c r="I1232" s="99"/>
      <c r="M1232" s="12"/>
    </row>
    <row r="1233" spans="1:13" s="10" customFormat="1" ht="12.75">
      <c r="A1233" s="11"/>
      <c r="B1233" s="10" t="s">
        <v>561</v>
      </c>
      <c r="D1233" s="88" t="s">
        <v>50</v>
      </c>
      <c r="E1233" s="89">
        <f>19.63+4.6</f>
        <v>24.229999999999997</v>
      </c>
      <c r="F1233" s="238" t="s">
        <v>69</v>
      </c>
      <c r="G1233" s="89">
        <v>1.55</v>
      </c>
      <c r="I1233" s="94" t="s">
        <v>567</v>
      </c>
      <c r="J1233" s="92"/>
      <c r="K1233" s="92"/>
      <c r="L1233" s="93" t="s">
        <v>50</v>
      </c>
      <c r="M1233" s="13">
        <f>E1233*G1233</f>
        <v>37.5565</v>
      </c>
    </row>
    <row r="1234" spans="1:13" s="10" customFormat="1" ht="12.75">
      <c r="A1234" s="11"/>
      <c r="B1234" s="10" t="s">
        <v>615</v>
      </c>
      <c r="E1234" s="99" t="s">
        <v>120</v>
      </c>
      <c r="G1234" s="99" t="s">
        <v>264</v>
      </c>
      <c r="I1234" s="99"/>
      <c r="M1234" s="12"/>
    </row>
    <row r="1235" spans="1:13" s="10" customFormat="1" ht="12.75" customHeight="1">
      <c r="A1235" s="11"/>
      <c r="E1235" s="99"/>
      <c r="G1235" s="99"/>
      <c r="I1235" s="99"/>
      <c r="M1235" s="12"/>
    </row>
    <row r="1236" spans="1:13" s="10" customFormat="1" ht="12.75">
      <c r="A1236" s="11"/>
      <c r="B1236" s="10" t="s">
        <v>222</v>
      </c>
      <c r="D1236" s="88" t="s">
        <v>50</v>
      </c>
      <c r="E1236" s="89">
        <f>16.121+15.241</f>
        <v>31.361999999999998</v>
      </c>
      <c r="F1236" s="238" t="s">
        <v>69</v>
      </c>
      <c r="G1236" s="89">
        <v>0.5</v>
      </c>
      <c r="H1236" s="238"/>
      <c r="I1236" s="153" t="s">
        <v>844</v>
      </c>
      <c r="J1236" s="92"/>
      <c r="K1236" s="92"/>
      <c r="L1236" s="93" t="s">
        <v>50</v>
      </c>
      <c r="M1236" s="13">
        <f>E1236*G1236</f>
        <v>15.680999999999999</v>
      </c>
    </row>
    <row r="1237" spans="1:13" s="10" customFormat="1" ht="12.75">
      <c r="A1237" s="11"/>
      <c r="B1237" s="10" t="s">
        <v>616</v>
      </c>
      <c r="E1237" s="99" t="s">
        <v>120</v>
      </c>
      <c r="G1237" s="99" t="s">
        <v>264</v>
      </c>
      <c r="I1237" s="99"/>
      <c r="M1237" s="12"/>
    </row>
    <row r="1238" spans="1:13" s="10" customFormat="1" ht="12.75" customHeight="1">
      <c r="A1238" s="11"/>
      <c r="E1238" s="99"/>
      <c r="G1238" s="99"/>
      <c r="I1238" s="99"/>
      <c r="M1238" s="12"/>
    </row>
    <row r="1239" spans="1:13" s="10" customFormat="1" ht="12.75">
      <c r="A1239" s="11"/>
      <c r="B1239" s="10" t="s">
        <v>222</v>
      </c>
      <c r="D1239" s="88" t="s">
        <v>50</v>
      </c>
      <c r="E1239" s="89">
        <f>3.389</f>
        <v>3.3889999999999998</v>
      </c>
      <c r="F1239" s="220"/>
      <c r="G1239" s="221"/>
      <c r="H1239" s="238"/>
      <c r="I1239" s="153" t="s">
        <v>845</v>
      </c>
      <c r="J1239" s="92"/>
      <c r="K1239" s="92"/>
      <c r="L1239" s="93" t="s">
        <v>50</v>
      </c>
      <c r="M1239" s="13">
        <f>E1239</f>
        <v>3.3889999999999998</v>
      </c>
    </row>
    <row r="1240" spans="1:13" s="10" customFormat="1" ht="12.75">
      <c r="A1240" s="11"/>
      <c r="B1240" s="10" t="s">
        <v>616</v>
      </c>
      <c r="E1240" s="99" t="s">
        <v>843</v>
      </c>
      <c r="F1240" s="222"/>
      <c r="G1240" s="234"/>
      <c r="I1240" s="99"/>
      <c r="M1240" s="12"/>
    </row>
    <row r="1241" spans="1:13" s="10" customFormat="1" ht="12.75" customHeight="1">
      <c r="A1241" s="11"/>
      <c r="E1241" s="99"/>
      <c r="G1241" s="99"/>
      <c r="I1241" s="99"/>
      <c r="M1241" s="12"/>
    </row>
    <row r="1242" spans="1:13" s="10" customFormat="1" ht="12.75">
      <c r="A1242" s="11"/>
      <c r="B1242" s="10" t="s">
        <v>200</v>
      </c>
      <c r="D1242" s="88" t="s">
        <v>50</v>
      </c>
      <c r="E1242" s="89">
        <f>(12.188+32.97+16.9)+(16.185)</f>
        <v>78.242999999999995</v>
      </c>
      <c r="F1242" s="238" t="s">
        <v>69</v>
      </c>
      <c r="G1242" s="89">
        <v>3.15</v>
      </c>
      <c r="I1242" s="94"/>
      <c r="J1242" s="92"/>
      <c r="K1242" s="92"/>
      <c r="L1242" s="93" t="s">
        <v>50</v>
      </c>
      <c r="M1242" s="13">
        <f>E1242*G1242</f>
        <v>246.46544999999998</v>
      </c>
    </row>
    <row r="1243" spans="1:13" s="10" customFormat="1" ht="12.75">
      <c r="A1243" s="11"/>
      <c r="B1243" s="10" t="s">
        <v>616</v>
      </c>
      <c r="E1243" s="99" t="s">
        <v>120</v>
      </c>
      <c r="G1243" s="99" t="s">
        <v>264</v>
      </c>
      <c r="I1243" s="99"/>
      <c r="M1243" s="12"/>
    </row>
    <row r="1244" spans="1:13" s="10" customFormat="1" ht="12.75" customHeight="1">
      <c r="A1244" s="11"/>
      <c r="E1244" s="99"/>
      <c r="G1244" s="99"/>
      <c r="I1244" s="99"/>
      <c r="M1244" s="12"/>
    </row>
    <row r="1245" spans="1:13" s="10" customFormat="1" ht="12.75">
      <c r="A1245" s="11"/>
      <c r="B1245" s="10" t="s">
        <v>561</v>
      </c>
      <c r="D1245" s="88" t="s">
        <v>50</v>
      </c>
      <c r="E1245" s="89">
        <f>(15.676+5.49+12.132)+(16.9)</f>
        <v>50.198</v>
      </c>
      <c r="F1245" s="238" t="s">
        <v>69</v>
      </c>
      <c r="G1245" s="89">
        <v>1.67</v>
      </c>
      <c r="I1245" s="94" t="s">
        <v>567</v>
      </c>
      <c r="J1245" s="92"/>
      <c r="K1245" s="92"/>
      <c r="L1245" s="93" t="s">
        <v>50</v>
      </c>
      <c r="M1245" s="13">
        <f>E1245*G1245</f>
        <v>83.830659999999995</v>
      </c>
    </row>
    <row r="1246" spans="1:13" s="10" customFormat="1" ht="12.75">
      <c r="A1246" s="11"/>
      <c r="B1246" s="10" t="s">
        <v>616</v>
      </c>
      <c r="E1246" s="99" t="s">
        <v>120</v>
      </c>
      <c r="G1246" s="99" t="s">
        <v>264</v>
      </c>
      <c r="I1246" s="99"/>
      <c r="M1246" s="12"/>
    </row>
    <row r="1247" spans="1:13" s="10" customFormat="1" ht="12.75" customHeight="1">
      <c r="A1247" s="11"/>
      <c r="E1247" s="99"/>
      <c r="G1247" s="99"/>
      <c r="I1247" s="99"/>
      <c r="M1247" s="12"/>
    </row>
    <row r="1248" spans="1:13" s="161" customFormat="1" ht="12.75">
      <c r="A1248" s="163"/>
      <c r="B1248" s="161" t="s">
        <v>10</v>
      </c>
      <c r="E1248" s="161" t="s">
        <v>149</v>
      </c>
      <c r="H1248" s="164"/>
      <c r="I1248" s="165" t="s">
        <v>265</v>
      </c>
      <c r="L1248" s="162" t="s">
        <v>50</v>
      </c>
      <c r="M1248" s="46">
        <f>SUM(M1221:M1245)</f>
        <v>617.66760999999985</v>
      </c>
    </row>
    <row r="1249" spans="1:13" customFormat="1" ht="12.75">
      <c r="A1249" s="136"/>
      <c r="B1249" s="137"/>
      <c r="E1249" s="138"/>
      <c r="G1249" s="138"/>
      <c r="I1249" s="138"/>
      <c r="M1249" s="139"/>
    </row>
    <row r="1250" spans="1:13" s="10" customFormat="1" ht="26.25" customHeight="1">
      <c r="A1250" s="38" t="str">
        <f>ORÇAMENTO!A196</f>
        <v>13.1.4</v>
      </c>
      <c r="B1250" s="86"/>
      <c r="C1250" s="388" t="str">
        <f>ORÇAMENTO!D196</f>
        <v>PREPARAÇÃO PARA EMASSAMENTO OU PINTURA (LÁTEX/ACRÍLICA) EM PAREDE OU FORRO EM CHAPA DE GESSO ACARTONADO (DRYWALL), INCLUSIVE UMA (1) DEMÃO DE SELADOR ACRÍLICO</v>
      </c>
      <c r="D1250" s="388"/>
      <c r="E1250" s="388"/>
      <c r="F1250" s="388"/>
      <c r="G1250" s="388"/>
      <c r="H1250" s="388"/>
      <c r="I1250" s="388"/>
      <c r="J1250" s="388"/>
      <c r="K1250" s="388"/>
      <c r="L1250" s="388"/>
      <c r="M1250" s="47" t="str">
        <f>ORÇAMENTO!E196</f>
        <v>M2</v>
      </c>
    </row>
    <row r="1251" spans="1:13" customFormat="1" ht="12.75">
      <c r="A1251" s="136"/>
      <c r="B1251" s="137"/>
      <c r="E1251" s="138"/>
      <c r="G1251" s="138"/>
      <c r="I1251" s="138"/>
      <c r="M1251" s="139"/>
    </row>
    <row r="1252" spans="1:13" s="10" customFormat="1" ht="12.75">
      <c r="A1252" s="11"/>
      <c r="B1252" s="10" t="s">
        <v>904</v>
      </c>
      <c r="D1252" s="88" t="s">
        <v>50</v>
      </c>
      <c r="E1252" s="89">
        <f>2.22</f>
        <v>2.2200000000000002</v>
      </c>
      <c r="F1252" s="266" t="s">
        <v>69</v>
      </c>
      <c r="G1252" s="89">
        <v>3</v>
      </c>
      <c r="H1252" s="266" t="s">
        <v>69</v>
      </c>
      <c r="I1252" s="89">
        <v>2</v>
      </c>
      <c r="J1252" s="92"/>
      <c r="K1252" s="92"/>
      <c r="L1252" s="93" t="s">
        <v>50</v>
      </c>
      <c r="M1252" s="13">
        <f>E1252*G1252*I1252</f>
        <v>13.32</v>
      </c>
    </row>
    <row r="1253" spans="1:13" s="10" customFormat="1" ht="12.75">
      <c r="A1253" s="11"/>
      <c r="B1253" s="10" t="s">
        <v>200</v>
      </c>
      <c r="E1253" s="39" t="s">
        <v>120</v>
      </c>
      <c r="G1253" s="39" t="s">
        <v>264</v>
      </c>
      <c r="H1253" s="138"/>
      <c r="I1253" s="138" t="s">
        <v>315</v>
      </c>
      <c r="M1253" s="12"/>
    </row>
    <row r="1254" spans="1:13" s="10" customFormat="1" ht="12.75" customHeight="1">
      <c r="A1254" s="11"/>
      <c r="E1254" s="39"/>
      <c r="G1254" s="39"/>
      <c r="I1254" s="39"/>
      <c r="M1254" s="12"/>
    </row>
    <row r="1255" spans="1:13" s="10" customFormat="1" ht="12.75">
      <c r="A1255" s="11"/>
      <c r="B1255" s="10" t="s">
        <v>905</v>
      </c>
      <c r="D1255" s="88" t="s">
        <v>50</v>
      </c>
      <c r="E1255" s="89">
        <f>0.4</f>
        <v>0.4</v>
      </c>
      <c r="F1255" s="266" t="s">
        <v>69</v>
      </c>
      <c r="G1255" s="89">
        <v>3</v>
      </c>
      <c r="H1255" s="266" t="s">
        <v>69</v>
      </c>
      <c r="I1255" s="89">
        <v>2</v>
      </c>
      <c r="J1255" s="92"/>
      <c r="K1255" s="92"/>
      <c r="L1255" s="93" t="s">
        <v>50</v>
      </c>
      <c r="M1255" s="13">
        <f>E1255*G1255*I1255</f>
        <v>2.4000000000000004</v>
      </c>
    </row>
    <row r="1256" spans="1:13" s="10" customFormat="1" ht="12.75">
      <c r="A1256" s="11"/>
      <c r="B1256" s="10" t="s">
        <v>200</v>
      </c>
      <c r="E1256" s="39" t="s">
        <v>120</v>
      </c>
      <c r="G1256" s="39" t="s">
        <v>264</v>
      </c>
      <c r="H1256" s="138"/>
      <c r="I1256" s="138" t="s">
        <v>315</v>
      </c>
      <c r="M1256" s="12"/>
    </row>
    <row r="1257" spans="1:13" s="10" customFormat="1" ht="12.75" customHeight="1">
      <c r="A1257" s="11"/>
      <c r="E1257" s="39"/>
      <c r="G1257" s="39"/>
      <c r="I1257" s="39"/>
      <c r="M1257" s="12"/>
    </row>
    <row r="1258" spans="1:13" s="10" customFormat="1" ht="12.75">
      <c r="A1258" s="11"/>
      <c r="B1258" s="10" t="s">
        <v>910</v>
      </c>
      <c r="D1258" s="88" t="s">
        <v>50</v>
      </c>
      <c r="E1258" s="89">
        <f>2.9</f>
        <v>2.9</v>
      </c>
      <c r="F1258" s="266" t="s">
        <v>69</v>
      </c>
      <c r="G1258" s="89">
        <v>3</v>
      </c>
      <c r="H1258" s="266" t="s">
        <v>68</v>
      </c>
      <c r="I1258" s="89">
        <f>M1145</f>
        <v>2.88</v>
      </c>
      <c r="J1258" s="266" t="s">
        <v>69</v>
      </c>
      <c r="K1258" s="89">
        <v>2</v>
      </c>
      <c r="L1258" s="93" t="s">
        <v>50</v>
      </c>
      <c r="M1258" s="13">
        <f>((E1258*G1258)-(I1258))*K1258</f>
        <v>11.639999999999999</v>
      </c>
    </row>
    <row r="1259" spans="1:13" s="10" customFormat="1" ht="12.75">
      <c r="A1259" s="11"/>
      <c r="B1259" s="10" t="s">
        <v>200</v>
      </c>
      <c r="E1259" s="39" t="s">
        <v>120</v>
      </c>
      <c r="G1259" s="39" t="s">
        <v>264</v>
      </c>
      <c r="I1259" s="39" t="s">
        <v>843</v>
      </c>
      <c r="J1259" s="138"/>
      <c r="K1259" s="138" t="s">
        <v>315</v>
      </c>
      <c r="M1259" s="12"/>
    </row>
    <row r="1260" spans="1:13" s="10" customFormat="1" ht="12.75" customHeight="1">
      <c r="A1260" s="11"/>
      <c r="B1260" s="87"/>
      <c r="E1260" s="39"/>
      <c r="G1260" s="39"/>
      <c r="I1260" s="39"/>
      <c r="M1260" s="12"/>
    </row>
    <row r="1261" spans="1:13" s="10" customFormat="1" ht="12.75">
      <c r="A1261" s="11"/>
      <c r="B1261" s="10" t="s">
        <v>200</v>
      </c>
      <c r="D1261" s="88" t="s">
        <v>50</v>
      </c>
      <c r="E1261" s="89">
        <f>1.1</f>
        <v>1.1000000000000001</v>
      </c>
      <c r="F1261" s="266" t="s">
        <v>69</v>
      </c>
      <c r="G1261" s="89">
        <v>3</v>
      </c>
      <c r="H1261" s="266" t="s">
        <v>69</v>
      </c>
      <c r="I1261" s="89">
        <v>2</v>
      </c>
      <c r="J1261" s="92"/>
      <c r="K1261" s="92"/>
      <c r="L1261" s="93" t="s">
        <v>50</v>
      </c>
      <c r="M1261" s="13">
        <f>E1261*G1261*I1261</f>
        <v>6.6000000000000005</v>
      </c>
    </row>
    <row r="1262" spans="1:13" s="10" customFormat="1" ht="12.75">
      <c r="A1262" s="11"/>
      <c r="B1262" s="10" t="s">
        <v>911</v>
      </c>
      <c r="E1262" s="39" t="s">
        <v>120</v>
      </c>
      <c r="G1262" s="39" t="s">
        <v>264</v>
      </c>
      <c r="H1262" s="138"/>
      <c r="I1262" s="138" t="s">
        <v>315</v>
      </c>
      <c r="M1262" s="12"/>
    </row>
    <row r="1263" spans="1:13" s="10" customFormat="1" ht="12.75" customHeight="1">
      <c r="A1263" s="11"/>
      <c r="B1263" s="87"/>
      <c r="E1263" s="39"/>
      <c r="G1263" s="39"/>
      <c r="I1263" s="39"/>
      <c r="M1263" s="12"/>
    </row>
    <row r="1264" spans="1:13" s="161" customFormat="1" ht="12.75">
      <c r="A1264" s="163"/>
      <c r="B1264" s="161" t="s">
        <v>10</v>
      </c>
      <c r="E1264" s="161" t="s">
        <v>149</v>
      </c>
      <c r="H1264" s="164"/>
      <c r="I1264" s="165" t="s">
        <v>265</v>
      </c>
      <c r="L1264" s="162" t="s">
        <v>50</v>
      </c>
      <c r="M1264" s="46">
        <f>SUM(M1252:M1261)</f>
        <v>33.96</v>
      </c>
    </row>
    <row r="1265" spans="1:13" customFormat="1" ht="12.75">
      <c r="A1265" s="136"/>
      <c r="B1265" s="137"/>
      <c r="E1265" s="138"/>
      <c r="G1265" s="138"/>
      <c r="I1265" s="138"/>
      <c r="M1265" s="139"/>
    </row>
    <row r="1266" spans="1:13" s="10" customFormat="1" ht="26.25" customHeight="1">
      <c r="A1266" s="38" t="str">
        <f>ORÇAMENTO!A197</f>
        <v>13.1.5</v>
      </c>
      <c r="B1266" s="86"/>
      <c r="C1266" s="388" t="str">
        <f>ORÇAMENTO!D197</f>
        <v>EMASSAMENTO EM PAREDE EM CHAPA DE GESSO ACARTONADO (DRYWALL) COM MASSA CORRIDA (PVA), UMA (1) DEMÃO, INCLUSIVE LIXAMENTO PARA PINTURA</v>
      </c>
      <c r="D1266" s="388"/>
      <c r="E1266" s="388"/>
      <c r="F1266" s="388"/>
      <c r="G1266" s="388"/>
      <c r="H1266" s="388"/>
      <c r="I1266" s="388"/>
      <c r="J1266" s="388"/>
      <c r="K1266" s="388"/>
      <c r="L1266" s="388"/>
      <c r="M1266" s="47" t="str">
        <f>ORÇAMENTO!E197</f>
        <v>M2</v>
      </c>
    </row>
    <row r="1267" spans="1:13" customFormat="1" ht="12.75">
      <c r="A1267" s="136"/>
      <c r="B1267" s="137"/>
      <c r="E1267" s="138"/>
      <c r="G1267" s="138"/>
      <c r="I1267" s="138"/>
      <c r="M1267" s="139"/>
    </row>
    <row r="1268" spans="1:13" s="10" customFormat="1" ht="12.75">
      <c r="A1268" s="11"/>
      <c r="B1268" s="10" t="s">
        <v>904</v>
      </c>
      <c r="D1268" s="88" t="s">
        <v>50</v>
      </c>
      <c r="E1268" s="89">
        <f>2.22</f>
        <v>2.2200000000000002</v>
      </c>
      <c r="F1268" s="266" t="s">
        <v>69</v>
      </c>
      <c r="G1268" s="89">
        <v>3</v>
      </c>
      <c r="H1268" s="266" t="s">
        <v>69</v>
      </c>
      <c r="I1268" s="89">
        <v>2</v>
      </c>
      <c r="J1268" s="92"/>
      <c r="K1268" s="92"/>
      <c r="L1268" s="93" t="s">
        <v>50</v>
      </c>
      <c r="M1268" s="13">
        <f>E1268*G1268*I1268</f>
        <v>13.32</v>
      </c>
    </row>
    <row r="1269" spans="1:13" s="10" customFormat="1" ht="12.75">
      <c r="A1269" s="11"/>
      <c r="B1269" s="10" t="s">
        <v>200</v>
      </c>
      <c r="E1269" s="39" t="s">
        <v>120</v>
      </c>
      <c r="G1269" s="39" t="s">
        <v>264</v>
      </c>
      <c r="H1269" s="138"/>
      <c r="I1269" s="138" t="s">
        <v>315</v>
      </c>
      <c r="M1269" s="12"/>
    </row>
    <row r="1270" spans="1:13" s="10" customFormat="1" ht="12.75" customHeight="1">
      <c r="A1270" s="11"/>
      <c r="E1270" s="39"/>
      <c r="G1270" s="39"/>
      <c r="I1270" s="39"/>
      <c r="M1270" s="12"/>
    </row>
    <row r="1271" spans="1:13" s="10" customFormat="1" ht="12.75">
      <c r="A1271" s="11"/>
      <c r="B1271" s="10" t="s">
        <v>905</v>
      </c>
      <c r="D1271" s="88" t="s">
        <v>50</v>
      </c>
      <c r="E1271" s="89">
        <f>0.4</f>
        <v>0.4</v>
      </c>
      <c r="F1271" s="266" t="s">
        <v>69</v>
      </c>
      <c r="G1271" s="89">
        <v>3</v>
      </c>
      <c r="H1271" s="266" t="s">
        <v>69</v>
      </c>
      <c r="I1271" s="89">
        <v>2</v>
      </c>
      <c r="J1271" s="92"/>
      <c r="K1271" s="92"/>
      <c r="L1271" s="93" t="s">
        <v>50</v>
      </c>
      <c r="M1271" s="13">
        <f>E1271*G1271*I1271</f>
        <v>2.4000000000000004</v>
      </c>
    </row>
    <row r="1272" spans="1:13" s="10" customFormat="1" ht="12.75">
      <c r="A1272" s="11"/>
      <c r="B1272" s="10" t="s">
        <v>200</v>
      </c>
      <c r="E1272" s="39" t="s">
        <v>120</v>
      </c>
      <c r="G1272" s="39" t="s">
        <v>264</v>
      </c>
      <c r="H1272" s="138"/>
      <c r="I1272" s="138" t="s">
        <v>315</v>
      </c>
      <c r="M1272" s="12"/>
    </row>
    <row r="1273" spans="1:13" s="10" customFormat="1" ht="12.75" customHeight="1">
      <c r="A1273" s="11"/>
      <c r="E1273" s="39"/>
      <c r="G1273" s="39"/>
      <c r="I1273" s="39"/>
      <c r="M1273" s="12"/>
    </row>
    <row r="1274" spans="1:13" s="10" customFormat="1" ht="12.75">
      <c r="A1274" s="11"/>
      <c r="B1274" s="10" t="s">
        <v>910</v>
      </c>
      <c r="D1274" s="88" t="s">
        <v>50</v>
      </c>
      <c r="E1274" s="89">
        <f>2.9</f>
        <v>2.9</v>
      </c>
      <c r="F1274" s="266" t="s">
        <v>69</v>
      </c>
      <c r="G1274" s="89">
        <v>3</v>
      </c>
      <c r="H1274" s="266" t="s">
        <v>68</v>
      </c>
      <c r="I1274" s="89">
        <f>M1145</f>
        <v>2.88</v>
      </c>
      <c r="J1274" s="266" t="s">
        <v>69</v>
      </c>
      <c r="K1274" s="89">
        <v>2</v>
      </c>
      <c r="L1274" s="93" t="s">
        <v>50</v>
      </c>
      <c r="M1274" s="13">
        <f>((E1274*G1274)-(I1274))*K1274</f>
        <v>11.639999999999999</v>
      </c>
    </row>
    <row r="1275" spans="1:13" s="10" customFormat="1" ht="12.75">
      <c r="A1275" s="11"/>
      <c r="B1275" s="10" t="s">
        <v>200</v>
      </c>
      <c r="E1275" s="39" t="s">
        <v>120</v>
      </c>
      <c r="G1275" s="39" t="s">
        <v>264</v>
      </c>
      <c r="I1275" s="39" t="s">
        <v>843</v>
      </c>
      <c r="J1275" s="138"/>
      <c r="K1275" s="138" t="s">
        <v>315</v>
      </c>
      <c r="M1275" s="12"/>
    </row>
    <row r="1276" spans="1:13" s="10" customFormat="1" ht="12.75" customHeight="1">
      <c r="A1276" s="11"/>
      <c r="B1276" s="87"/>
      <c r="E1276" s="39"/>
      <c r="G1276" s="39"/>
      <c r="I1276" s="39"/>
      <c r="M1276" s="12"/>
    </row>
    <row r="1277" spans="1:13" s="10" customFormat="1" ht="12.75">
      <c r="A1277" s="11"/>
      <c r="B1277" s="10" t="s">
        <v>200</v>
      </c>
      <c r="D1277" s="88" t="s">
        <v>50</v>
      </c>
      <c r="E1277" s="89">
        <f>1.1</f>
        <v>1.1000000000000001</v>
      </c>
      <c r="F1277" s="266" t="s">
        <v>69</v>
      </c>
      <c r="G1277" s="89">
        <v>3</v>
      </c>
      <c r="H1277" s="266" t="s">
        <v>69</v>
      </c>
      <c r="I1277" s="89">
        <v>2</v>
      </c>
      <c r="J1277" s="92"/>
      <c r="K1277" s="92"/>
      <c r="L1277" s="93" t="s">
        <v>50</v>
      </c>
      <c r="M1277" s="13">
        <f>E1277*G1277*I1277</f>
        <v>6.6000000000000005</v>
      </c>
    </row>
    <row r="1278" spans="1:13" s="10" customFormat="1" ht="12.75">
      <c r="A1278" s="11"/>
      <c r="B1278" s="10" t="s">
        <v>911</v>
      </c>
      <c r="E1278" s="39" t="s">
        <v>120</v>
      </c>
      <c r="G1278" s="39" t="s">
        <v>264</v>
      </c>
      <c r="H1278" s="138"/>
      <c r="I1278" s="138" t="s">
        <v>315</v>
      </c>
      <c r="M1278" s="12"/>
    </row>
    <row r="1279" spans="1:13" s="10" customFormat="1" ht="12.75" customHeight="1">
      <c r="A1279" s="11"/>
      <c r="B1279" s="87"/>
      <c r="E1279" s="39"/>
      <c r="G1279" s="39"/>
      <c r="I1279" s="39"/>
      <c r="M1279" s="12"/>
    </row>
    <row r="1280" spans="1:13" s="161" customFormat="1" ht="12.75">
      <c r="A1280" s="163"/>
      <c r="B1280" s="161" t="s">
        <v>10</v>
      </c>
      <c r="E1280" s="161" t="s">
        <v>149</v>
      </c>
      <c r="H1280" s="164"/>
      <c r="I1280" s="165" t="s">
        <v>265</v>
      </c>
      <c r="L1280" s="162" t="s">
        <v>50</v>
      </c>
      <c r="M1280" s="46">
        <f>SUM(M1268:M1277)</f>
        <v>33.96</v>
      </c>
    </row>
    <row r="1281" spans="1:13" customFormat="1" ht="12.75">
      <c r="A1281" s="136"/>
      <c r="B1281" s="137"/>
      <c r="E1281" s="138"/>
      <c r="G1281" s="138"/>
      <c r="I1281" s="138"/>
      <c r="M1281" s="139"/>
    </row>
    <row r="1282" spans="1:13" s="10" customFormat="1" ht="15">
      <c r="A1282" s="16" t="str">
        <f>ORÇAMENTO!A199</f>
        <v>13.2</v>
      </c>
      <c r="B1282" s="85"/>
      <c r="C1282" s="386" t="str">
        <f>ORÇAMENTO!C199</f>
        <v>TETOS</v>
      </c>
      <c r="D1282" s="386"/>
      <c r="E1282" s="386"/>
      <c r="F1282" s="386"/>
      <c r="G1282" s="386"/>
      <c r="H1282" s="386"/>
      <c r="I1282" s="386"/>
      <c r="J1282" s="386"/>
      <c r="K1282" s="386"/>
      <c r="L1282" s="386"/>
      <c r="M1282" s="387"/>
    </row>
    <row r="1283" spans="1:13" s="10" customFormat="1" ht="12.75">
      <c r="A1283" s="11"/>
      <c r="M1283" s="12"/>
    </row>
    <row r="1284" spans="1:13" s="10" customFormat="1" ht="26.25" customHeight="1">
      <c r="A1284" s="38" t="str">
        <f>ORÇAMENTO!A200</f>
        <v>13.2.1</v>
      </c>
      <c r="B1284" s="86"/>
      <c r="C1284" s="388" t="str">
        <f>ORÇAMENTO!D200</f>
        <v>PINTURA LÁTEX (PVA) EM TETO, DUAS (2) DEMÃOS, INCLUSIVE UMA (1) DEMÃO DE MASSA CORRIDA (PVA), EXCLUSIVE SELADOR ACRÍLICO</v>
      </c>
      <c r="D1284" s="388"/>
      <c r="E1284" s="388"/>
      <c r="F1284" s="388"/>
      <c r="G1284" s="388"/>
      <c r="H1284" s="388"/>
      <c r="I1284" s="388"/>
      <c r="J1284" s="388"/>
      <c r="K1284" s="388"/>
      <c r="L1284" s="388"/>
      <c r="M1284" s="47" t="str">
        <f>ORÇAMENTO!E200</f>
        <v>M2</v>
      </c>
    </row>
    <row r="1285" spans="1:13" customFormat="1" ht="12.75">
      <c r="A1285" s="136"/>
      <c r="B1285" s="137"/>
      <c r="E1285" s="138"/>
      <c r="G1285" s="138"/>
      <c r="I1285" s="138"/>
      <c r="M1285" s="139"/>
    </row>
    <row r="1286" spans="1:13" customFormat="1" ht="12.75">
      <c r="A1286" s="136"/>
      <c r="B1286" s="87" t="s">
        <v>562</v>
      </c>
      <c r="D1286" s="140" t="s">
        <v>50</v>
      </c>
      <c r="E1286" s="141">
        <f>89.833</f>
        <v>89.832999999999998</v>
      </c>
      <c r="F1286" s="142"/>
      <c r="G1286" s="148"/>
      <c r="H1286" s="142"/>
      <c r="I1286" s="161"/>
      <c r="J1286" s="144"/>
      <c r="K1286" s="144"/>
      <c r="L1286" s="145" t="s">
        <v>50</v>
      </c>
      <c r="M1286" s="146">
        <f>E1286</f>
        <v>89.832999999999998</v>
      </c>
    </row>
    <row r="1287" spans="1:13" customFormat="1" ht="12.75">
      <c r="A1287" s="136"/>
      <c r="B1287" s="10" t="s">
        <v>577</v>
      </c>
      <c r="E1287" s="138" t="s">
        <v>121</v>
      </c>
      <c r="G1287" s="138"/>
      <c r="I1287" s="138"/>
      <c r="M1287" s="139"/>
    </row>
    <row r="1288" spans="1:13" customFormat="1" ht="12.75">
      <c r="A1288" s="136"/>
      <c r="B1288" s="137"/>
      <c r="E1288" s="138"/>
      <c r="G1288" s="138"/>
      <c r="I1288" s="138"/>
      <c r="M1288" s="139"/>
    </row>
    <row r="1289" spans="1:13" customFormat="1" ht="12.75">
      <c r="A1289" s="136"/>
      <c r="B1289" s="87" t="s">
        <v>562</v>
      </c>
      <c r="D1289" s="140" t="s">
        <v>50</v>
      </c>
      <c r="E1289" s="141">
        <f>(53.348)-(4.86+2.967)</f>
        <v>45.521000000000001</v>
      </c>
      <c r="F1289" s="142"/>
      <c r="G1289" s="148"/>
      <c r="H1289" s="142"/>
      <c r="I1289" s="161"/>
      <c r="J1289" s="144"/>
      <c r="K1289" s="144"/>
      <c r="L1289" s="145" t="s">
        <v>50</v>
      </c>
      <c r="M1289" s="146">
        <f>E1289</f>
        <v>45.521000000000001</v>
      </c>
    </row>
    <row r="1290" spans="1:13" customFormat="1" ht="12.75">
      <c r="A1290" s="136"/>
      <c r="B1290" s="10" t="s">
        <v>645</v>
      </c>
      <c r="E1290" s="138" t="s">
        <v>121</v>
      </c>
      <c r="G1290" s="138"/>
      <c r="I1290" s="138"/>
      <c r="M1290" s="139"/>
    </row>
    <row r="1291" spans="1:13" customFormat="1" ht="12.75">
      <c r="A1291" s="136"/>
      <c r="B1291" s="137"/>
      <c r="E1291" s="138"/>
      <c r="G1291" s="138"/>
      <c r="I1291" s="138"/>
      <c r="M1291" s="139"/>
    </row>
    <row r="1292" spans="1:13" s="161" customFormat="1" ht="12.75">
      <c r="A1292" s="163"/>
      <c r="B1292" s="161" t="s">
        <v>10</v>
      </c>
      <c r="E1292" s="161" t="s">
        <v>149</v>
      </c>
      <c r="H1292" s="164"/>
      <c r="I1292" s="165" t="s">
        <v>265</v>
      </c>
      <c r="L1292" s="162" t="s">
        <v>50</v>
      </c>
      <c r="M1292" s="46">
        <f>SUM(M1286:M1289)</f>
        <v>135.35399999999998</v>
      </c>
    </row>
    <row r="1293" spans="1:13" customFormat="1" ht="12.75">
      <c r="A1293" s="136"/>
      <c r="B1293" s="137"/>
      <c r="E1293" s="138"/>
      <c r="G1293" s="138"/>
      <c r="I1293" s="138"/>
      <c r="M1293" s="139"/>
    </row>
    <row r="1294" spans="1:13" s="10" customFormat="1" ht="26.25" customHeight="1">
      <c r="A1294" s="106" t="str">
        <f>ORÇAMENTO!A201</f>
        <v>13.2.2</v>
      </c>
      <c r="B1294" s="107"/>
      <c r="C1294" s="383" t="str">
        <f>ORÇAMENTO!D201</f>
        <v xml:space="preserve">PINTURA ACRÍLICA EM TETO, DUAS (2) DEMÃOS, INCLUSIVE UMA (1) DEMÃO DE MASSA CORRIDA (PVA), EXCLUSIVE SELADOR ACRÍLICO </v>
      </c>
      <c r="D1294" s="383"/>
      <c r="E1294" s="383"/>
      <c r="F1294" s="383"/>
      <c r="G1294" s="383"/>
      <c r="H1294" s="383"/>
      <c r="I1294" s="383"/>
      <c r="J1294" s="383"/>
      <c r="K1294" s="383"/>
      <c r="L1294" s="383"/>
      <c r="M1294" s="108" t="str">
        <f>ORÇAMENTO!E201</f>
        <v>M2</v>
      </c>
    </row>
    <row r="1295" spans="1:13" customFormat="1" ht="12.75">
      <c r="A1295" s="136"/>
      <c r="B1295" s="137"/>
      <c r="E1295" s="138"/>
      <c r="G1295" s="138"/>
      <c r="I1295" s="138"/>
      <c r="M1295" s="139"/>
    </row>
    <row r="1296" spans="1:13" s="10" customFormat="1" ht="12.75">
      <c r="A1296" s="209"/>
      <c r="B1296" s="87" t="s">
        <v>852</v>
      </c>
      <c r="D1296" s="88" t="s">
        <v>50</v>
      </c>
      <c r="E1296" s="89">
        <f>2.492+2.545</f>
        <v>5.0369999999999999</v>
      </c>
      <c r="F1296" s="211"/>
      <c r="G1296" s="91"/>
      <c r="I1296" s="161"/>
      <c r="J1296" s="92"/>
      <c r="K1296" s="92"/>
      <c r="L1296" s="93" t="s">
        <v>50</v>
      </c>
      <c r="M1296" s="13">
        <f>E1296</f>
        <v>5.0369999999999999</v>
      </c>
    </row>
    <row r="1297" spans="1:13" s="10" customFormat="1" ht="12.75">
      <c r="A1297" s="209"/>
      <c r="B1297" s="10" t="s">
        <v>577</v>
      </c>
      <c r="E1297" s="39" t="s">
        <v>382</v>
      </c>
      <c r="G1297" s="39"/>
      <c r="M1297" s="12"/>
    </row>
    <row r="1298" spans="1:13" s="10" customFormat="1">
      <c r="A1298" s="209"/>
      <c r="E1298" s="39"/>
      <c r="F1298" s="6"/>
      <c r="M1298" s="12"/>
    </row>
    <row r="1299" spans="1:13" customFormat="1" ht="12.75">
      <c r="A1299" s="136"/>
      <c r="B1299" s="87" t="s">
        <v>568</v>
      </c>
      <c r="D1299" s="140" t="s">
        <v>50</v>
      </c>
      <c r="E1299" s="141">
        <f>4.86+2.967</f>
        <v>7.827</v>
      </c>
      <c r="F1299" s="142"/>
      <c r="G1299" s="148"/>
      <c r="H1299" s="142"/>
      <c r="I1299" s="161"/>
      <c r="J1299" s="144"/>
      <c r="K1299" s="144"/>
      <c r="L1299" s="145" t="s">
        <v>50</v>
      </c>
      <c r="M1299" s="146">
        <f>E1299</f>
        <v>7.827</v>
      </c>
    </row>
    <row r="1300" spans="1:13" customFormat="1" ht="12.75">
      <c r="A1300" s="136"/>
      <c r="B1300" s="10" t="s">
        <v>548</v>
      </c>
      <c r="E1300" s="138" t="s">
        <v>121</v>
      </c>
      <c r="G1300" s="138"/>
      <c r="I1300" s="138"/>
      <c r="M1300" s="139"/>
    </row>
    <row r="1301" spans="1:13" customFormat="1" ht="12.75">
      <c r="A1301" s="136"/>
      <c r="B1301" s="137"/>
      <c r="E1301" s="138"/>
      <c r="G1301" s="138"/>
      <c r="I1301" s="138"/>
      <c r="M1301" s="139"/>
    </row>
    <row r="1302" spans="1:13" s="161" customFormat="1" ht="12.75">
      <c r="A1302" s="163"/>
      <c r="B1302" s="161" t="s">
        <v>10</v>
      </c>
      <c r="E1302" s="161" t="s">
        <v>149</v>
      </c>
      <c r="H1302" s="164"/>
      <c r="I1302" s="165" t="s">
        <v>265</v>
      </c>
      <c r="L1302" s="162" t="s">
        <v>50</v>
      </c>
      <c r="M1302" s="46">
        <f>SUM(M1296:M1299)</f>
        <v>12.864000000000001</v>
      </c>
    </row>
    <row r="1303" spans="1:13" customFormat="1" ht="12.75">
      <c r="A1303" s="136"/>
      <c r="B1303" s="137"/>
      <c r="E1303" s="138"/>
      <c r="G1303" s="138"/>
      <c r="I1303" s="138"/>
      <c r="M1303" s="139"/>
    </row>
    <row r="1304" spans="1:13" s="10" customFormat="1" ht="39.75" customHeight="1">
      <c r="A1304" s="38" t="str">
        <f>ORÇAMENTO!A202</f>
        <v>13.2.3</v>
      </c>
      <c r="B1304" s="86"/>
      <c r="C1304" s="388" t="str">
        <f>ORÇAMENTO!D202</f>
        <v>FUNDO SELADOR ACRÍLICO, APLICAÇÃO MANUAL EM TETO, UMA DEMÃO. AF_04/2023</v>
      </c>
      <c r="D1304" s="388"/>
      <c r="E1304" s="388"/>
      <c r="F1304" s="388"/>
      <c r="G1304" s="388"/>
      <c r="H1304" s="388"/>
      <c r="I1304" s="388"/>
      <c r="J1304" s="388"/>
      <c r="K1304" s="388"/>
      <c r="L1304" s="388"/>
      <c r="M1304" s="47" t="str">
        <f>ORÇAMENTO!E202</f>
        <v>M2</v>
      </c>
    </row>
    <row r="1305" spans="1:13" customFormat="1" ht="12.75">
      <c r="A1305" s="136"/>
      <c r="B1305" s="137"/>
      <c r="E1305" s="138"/>
      <c r="G1305" s="138"/>
      <c r="I1305" s="138"/>
      <c r="M1305" s="139"/>
    </row>
    <row r="1306" spans="1:13" s="10" customFormat="1" ht="12.75">
      <c r="A1306" s="209"/>
      <c r="B1306" s="87" t="s">
        <v>562</v>
      </c>
      <c r="D1306" s="88" t="s">
        <v>50</v>
      </c>
      <c r="E1306" s="89">
        <f>2.492+2.545</f>
        <v>5.0369999999999999</v>
      </c>
      <c r="F1306" s="211"/>
      <c r="G1306" s="91"/>
      <c r="I1306" s="161"/>
      <c r="J1306" s="92"/>
      <c r="K1306" s="92"/>
      <c r="L1306" s="93" t="s">
        <v>50</v>
      </c>
      <c r="M1306" s="13">
        <f>E1306</f>
        <v>5.0369999999999999</v>
      </c>
    </row>
    <row r="1307" spans="1:13" s="10" customFormat="1" ht="12.75">
      <c r="A1307" s="209"/>
      <c r="B1307" s="10" t="s">
        <v>548</v>
      </c>
      <c r="E1307" s="39" t="s">
        <v>382</v>
      </c>
      <c r="G1307" s="39"/>
      <c r="M1307" s="12"/>
    </row>
    <row r="1308" spans="1:13" s="10" customFormat="1">
      <c r="A1308" s="209"/>
      <c r="E1308" s="39"/>
      <c r="F1308" s="6"/>
      <c r="M1308" s="12"/>
    </row>
    <row r="1309" spans="1:13" customFormat="1" ht="12.75">
      <c r="A1309" s="136"/>
      <c r="B1309" s="87" t="s">
        <v>568</v>
      </c>
      <c r="D1309" s="140" t="s">
        <v>50</v>
      </c>
      <c r="E1309" s="141">
        <f>4.86+2.967</f>
        <v>7.827</v>
      </c>
      <c r="F1309" s="142"/>
      <c r="G1309" s="148"/>
      <c r="H1309" s="142"/>
      <c r="I1309" s="161"/>
      <c r="J1309" s="144"/>
      <c r="K1309" s="144"/>
      <c r="L1309" s="145" t="s">
        <v>50</v>
      </c>
      <c r="M1309" s="146">
        <f>E1309</f>
        <v>7.827</v>
      </c>
    </row>
    <row r="1310" spans="1:13" customFormat="1" ht="12.75">
      <c r="A1310" s="136"/>
      <c r="B1310" s="10" t="s">
        <v>548</v>
      </c>
      <c r="E1310" s="138" t="s">
        <v>121</v>
      </c>
      <c r="G1310" s="138"/>
      <c r="I1310" s="138"/>
      <c r="M1310" s="139"/>
    </row>
    <row r="1311" spans="1:13" customFormat="1" ht="12.75">
      <c r="A1311" s="136"/>
      <c r="B1311" s="137"/>
      <c r="E1311" s="138"/>
      <c r="G1311" s="138"/>
      <c r="I1311" s="138"/>
      <c r="M1311" s="139"/>
    </row>
    <row r="1312" spans="1:13" s="161" customFormat="1" ht="12.75">
      <c r="A1312" s="163"/>
      <c r="B1312" s="161" t="s">
        <v>10</v>
      </c>
      <c r="E1312" s="161" t="s">
        <v>149</v>
      </c>
      <c r="H1312" s="164"/>
      <c r="I1312" s="165" t="s">
        <v>265</v>
      </c>
      <c r="L1312" s="162" t="s">
        <v>50</v>
      </c>
      <c r="M1312" s="46">
        <f>SUM(M1306:M1309)</f>
        <v>12.864000000000001</v>
      </c>
    </row>
    <row r="1313" spans="1:13" customFormat="1" ht="12.75">
      <c r="A1313" s="136"/>
      <c r="B1313" s="137"/>
      <c r="E1313" s="138"/>
      <c r="G1313" s="138"/>
      <c r="I1313" s="138"/>
      <c r="M1313" s="139"/>
    </row>
    <row r="1314" spans="1:13" s="10" customFormat="1" ht="15">
      <c r="A1314" s="16" t="str">
        <f>ORÇAMENTO!A204</f>
        <v>13.3</v>
      </c>
      <c r="B1314" s="85"/>
      <c r="C1314" s="386" t="str">
        <f>ORÇAMENTO!C204</f>
        <v>METAIS</v>
      </c>
      <c r="D1314" s="386"/>
      <c r="E1314" s="386"/>
      <c r="F1314" s="386"/>
      <c r="G1314" s="386"/>
      <c r="H1314" s="386"/>
      <c r="I1314" s="386"/>
      <c r="J1314" s="386"/>
      <c r="K1314" s="386"/>
      <c r="L1314" s="386"/>
      <c r="M1314" s="387"/>
    </row>
    <row r="1315" spans="1:13" s="10" customFormat="1" ht="12.75">
      <c r="A1315" s="11"/>
      <c r="M1315" s="12"/>
    </row>
    <row r="1316" spans="1:13" s="10" customFormat="1" ht="26.25" customHeight="1">
      <c r="A1316" s="106" t="str">
        <f>ORÇAMENTO!A205</f>
        <v>13.3.1</v>
      </c>
      <c r="B1316" s="107"/>
      <c r="C1316" s="383" t="str">
        <f>ORÇAMENTO!D205</f>
        <v>PINTURA ANTICORROSIVA A BASE DE ÓXIDO DE FERRO (ZARCÃO) EM ESQUADRIA E SUPERFÍCIE METÁLICA, UMA (1) DEMÃO</v>
      </c>
      <c r="D1316" s="383"/>
      <c r="E1316" s="383"/>
      <c r="F1316" s="383"/>
      <c r="G1316" s="383"/>
      <c r="H1316" s="383"/>
      <c r="I1316" s="383"/>
      <c r="J1316" s="383"/>
      <c r="K1316" s="383"/>
      <c r="L1316" s="383"/>
      <c r="M1316" s="108" t="str">
        <f>ORÇAMENTO!E205</f>
        <v>M2</v>
      </c>
    </row>
    <row r="1317" spans="1:13" s="10" customFormat="1" ht="12.75">
      <c r="A1317" s="11"/>
      <c r="M1317" s="12"/>
    </row>
    <row r="1318" spans="1:13" s="10" customFormat="1" ht="12.75">
      <c r="A1318" s="11"/>
      <c r="B1318" s="10" t="s">
        <v>428</v>
      </c>
      <c r="D1318" s="88" t="s">
        <v>50</v>
      </c>
      <c r="E1318" s="89">
        <f>19.86*2</f>
        <v>39.72</v>
      </c>
      <c r="F1318" s="90" t="s">
        <v>69</v>
      </c>
      <c r="G1318" s="89">
        <f>2*3.14*0.0381</f>
        <v>0.23926800000000001</v>
      </c>
      <c r="H1318" s="90"/>
      <c r="I1318" s="91"/>
      <c r="J1318" s="90"/>
      <c r="K1318" s="91"/>
      <c r="L1318" s="93" t="s">
        <v>50</v>
      </c>
      <c r="M1318" s="13">
        <f>E1318*G1318</f>
        <v>9.5037249599999996</v>
      </c>
    </row>
    <row r="1319" spans="1:13" s="10" customFormat="1" ht="12.75">
      <c r="A1319" s="11"/>
      <c r="B1319" s="10" t="s">
        <v>870</v>
      </c>
      <c r="E1319" s="99" t="s">
        <v>301</v>
      </c>
      <c r="G1319" s="90" t="s">
        <v>267</v>
      </c>
      <c r="H1319" s="90"/>
      <c r="I1319" s="90"/>
      <c r="K1319" s="99"/>
      <c r="M1319" s="12"/>
    </row>
    <row r="1320" spans="1:13" s="10" customFormat="1" ht="12.75">
      <c r="A1320" s="11"/>
      <c r="M1320" s="12"/>
    </row>
    <row r="1321" spans="1:13" s="161" customFormat="1" ht="12.75">
      <c r="A1321" s="163"/>
      <c r="B1321" s="161" t="s">
        <v>10</v>
      </c>
      <c r="E1321" s="161" t="s">
        <v>149</v>
      </c>
      <c r="H1321" s="164"/>
      <c r="I1321" s="165" t="s">
        <v>265</v>
      </c>
      <c r="L1321" s="162" t="s">
        <v>50</v>
      </c>
      <c r="M1321" s="46">
        <f>SUM(M1318)</f>
        <v>9.5037249599999996</v>
      </c>
    </row>
    <row r="1322" spans="1:13" s="10" customFormat="1" ht="12.75">
      <c r="A1322" s="11"/>
      <c r="H1322" s="132"/>
      <c r="I1322" s="94"/>
      <c r="L1322" s="93"/>
      <c r="M1322" s="158"/>
    </row>
    <row r="1323" spans="1:13" s="10" customFormat="1" ht="26.25" customHeight="1">
      <c r="A1323" s="106" t="str">
        <f>ORÇAMENTO!A206</f>
        <v>13.3.2</v>
      </c>
      <c r="B1323" s="107"/>
      <c r="C1323" s="383" t="str">
        <f>ORÇAMENTO!D206</f>
        <v>PINTURA ESMALTE EM ESQUADRIAS DE FERRO, DUAS (2) DEMÃOS, INCLUSIVE UMA (1) DEMÃO DE FUNDO ANTICORROSIVO</v>
      </c>
      <c r="D1323" s="383"/>
      <c r="E1323" s="383"/>
      <c r="F1323" s="383"/>
      <c r="G1323" s="383"/>
      <c r="H1323" s="383"/>
      <c r="I1323" s="383"/>
      <c r="J1323" s="383"/>
      <c r="K1323" s="383"/>
      <c r="L1323" s="383"/>
      <c r="M1323" s="108" t="str">
        <f>ORÇAMENTO!E206</f>
        <v>M2</v>
      </c>
    </row>
    <row r="1324" spans="1:13" s="10" customFormat="1" ht="12.75">
      <c r="A1324" s="11"/>
      <c r="M1324" s="12"/>
    </row>
    <row r="1325" spans="1:13" s="10" customFormat="1" ht="12.75">
      <c r="A1325" s="11"/>
      <c r="B1325" s="10" t="s">
        <v>937</v>
      </c>
      <c r="D1325" s="88" t="s">
        <v>50</v>
      </c>
      <c r="E1325" s="89">
        <v>1.8</v>
      </c>
      <c r="F1325" s="253" t="s">
        <v>69</v>
      </c>
      <c r="G1325" s="89">
        <v>2.1</v>
      </c>
      <c r="H1325" s="253" t="s">
        <v>69</v>
      </c>
      <c r="I1325" s="89">
        <v>2</v>
      </c>
      <c r="J1325" s="253"/>
      <c r="L1325" s="93" t="s">
        <v>50</v>
      </c>
      <c r="M1325" s="13">
        <f>E1325*G1325*I1325</f>
        <v>7.5600000000000005</v>
      </c>
    </row>
    <row r="1326" spans="1:13" s="10" customFormat="1" ht="12.75">
      <c r="A1326" s="11"/>
      <c r="B1326" s="10" t="s">
        <v>853</v>
      </c>
      <c r="E1326" s="99" t="s">
        <v>56</v>
      </c>
      <c r="G1326" s="99" t="s">
        <v>264</v>
      </c>
      <c r="I1326" s="99" t="s">
        <v>315</v>
      </c>
      <c r="M1326" s="12"/>
    </row>
    <row r="1327" spans="1:13" s="10" customFormat="1" ht="12.75">
      <c r="A1327" s="11"/>
      <c r="M1327" s="12"/>
    </row>
    <row r="1328" spans="1:13" s="161" customFormat="1" ht="12.75">
      <c r="A1328" s="163"/>
      <c r="B1328" s="161" t="s">
        <v>10</v>
      </c>
      <c r="E1328" s="161" t="s">
        <v>149</v>
      </c>
      <c r="H1328" s="164"/>
      <c r="I1328" s="165" t="s">
        <v>265</v>
      </c>
      <c r="L1328" s="162" t="s">
        <v>50</v>
      </c>
      <c r="M1328" s="46">
        <f>SUM(M1325)</f>
        <v>7.5600000000000005</v>
      </c>
    </row>
    <row r="1329" spans="1:13" s="10" customFormat="1" ht="12.75">
      <c r="A1329" s="11"/>
      <c r="H1329" s="132"/>
      <c r="I1329" s="94"/>
      <c r="L1329" s="93"/>
      <c r="M1329" s="158"/>
    </row>
    <row r="1330" spans="1:13" s="10" customFormat="1" ht="15">
      <c r="A1330" s="16" t="str">
        <f>ORÇAMENTO!A208</f>
        <v>13.4</v>
      </c>
      <c r="B1330" s="85"/>
      <c r="C1330" s="386" t="str">
        <f>ORÇAMENTO!C208</f>
        <v>MADEIRAS</v>
      </c>
      <c r="D1330" s="386"/>
      <c r="E1330" s="386"/>
      <c r="F1330" s="386"/>
      <c r="G1330" s="386"/>
      <c r="H1330" s="386"/>
      <c r="I1330" s="386"/>
      <c r="J1330" s="386"/>
      <c r="K1330" s="386"/>
      <c r="L1330" s="386"/>
      <c r="M1330" s="387"/>
    </row>
    <row r="1331" spans="1:13" s="10" customFormat="1" ht="12.75">
      <c r="A1331" s="11"/>
      <c r="M1331" s="12"/>
    </row>
    <row r="1332" spans="1:13" s="10" customFormat="1" ht="26.25" customHeight="1">
      <c r="A1332" s="106" t="str">
        <f>ORÇAMENTO!A209</f>
        <v>13.4.1</v>
      </c>
      <c r="B1332" s="107"/>
      <c r="C1332" s="383" t="str">
        <f>ORÇAMENTO!D209</f>
        <v>EMASSAMENTO EM ESQUADRIA DE MADEIRA COM MASSA A ÓLEO, DUAS (2) DEMÃOS, INCLUSIVE LIXAMENTO PARA PINTURA  A ÓLEO OU ESMALTE</v>
      </c>
      <c r="D1332" s="383"/>
      <c r="E1332" s="383"/>
      <c r="F1332" s="383"/>
      <c r="G1332" s="383"/>
      <c r="H1332" s="383"/>
      <c r="I1332" s="383"/>
      <c r="J1332" s="383"/>
      <c r="K1332" s="383"/>
      <c r="L1332" s="383"/>
      <c r="M1332" s="108" t="str">
        <f>ORÇAMENTO!E209</f>
        <v>M2</v>
      </c>
    </row>
    <row r="1333" spans="1:13" s="10" customFormat="1" ht="12.75">
      <c r="A1333" s="11"/>
      <c r="M1333" s="12"/>
    </row>
    <row r="1334" spans="1:13" s="10" customFormat="1" ht="12.75">
      <c r="A1334" s="11"/>
      <c r="M1334" s="12"/>
    </row>
    <row r="1335" spans="1:13" s="10" customFormat="1" ht="12.75">
      <c r="A1335" s="11"/>
      <c r="B1335" s="10" t="s">
        <v>855</v>
      </c>
      <c r="D1335" s="88" t="s">
        <v>50</v>
      </c>
      <c r="E1335" s="89">
        <v>0.9</v>
      </c>
      <c r="F1335" s="253" t="s">
        <v>69</v>
      </c>
      <c r="G1335" s="89">
        <v>2.1</v>
      </c>
      <c r="H1335" s="253" t="s">
        <v>69</v>
      </c>
      <c r="I1335" s="89">
        <v>1</v>
      </c>
      <c r="J1335" s="253" t="s">
        <v>69</v>
      </c>
      <c r="K1335" s="89">
        <v>2</v>
      </c>
      <c r="L1335" s="93" t="s">
        <v>50</v>
      </c>
      <c r="M1335" s="13">
        <f>E1335*G1335*I1335*K1335</f>
        <v>3.7800000000000002</v>
      </c>
    </row>
    <row r="1336" spans="1:13" s="10" customFormat="1" ht="12.75">
      <c r="A1336" s="11"/>
      <c r="B1336" s="10" t="s">
        <v>664</v>
      </c>
      <c r="E1336" s="99" t="s">
        <v>267</v>
      </c>
      <c r="G1336" s="99" t="s">
        <v>264</v>
      </c>
      <c r="I1336" s="99" t="s">
        <v>291</v>
      </c>
      <c r="K1336" s="99" t="s">
        <v>315</v>
      </c>
      <c r="M1336" s="12"/>
    </row>
    <row r="1337" spans="1:13" s="10" customFormat="1" ht="12.75">
      <c r="A1337" s="11"/>
      <c r="M1337" s="12"/>
    </row>
    <row r="1338" spans="1:13" s="10" customFormat="1" ht="12.75">
      <c r="A1338" s="11"/>
      <c r="B1338" s="10" t="s">
        <v>855</v>
      </c>
      <c r="D1338" s="88" t="s">
        <v>50</v>
      </c>
      <c r="E1338" s="89">
        <v>0.9</v>
      </c>
      <c r="F1338" s="253" t="s">
        <v>69</v>
      </c>
      <c r="G1338" s="89">
        <v>2.1</v>
      </c>
      <c r="H1338" s="253" t="s">
        <v>69</v>
      </c>
      <c r="I1338" s="89">
        <v>2</v>
      </c>
      <c r="J1338" s="253" t="s">
        <v>69</v>
      </c>
      <c r="K1338" s="89">
        <v>2</v>
      </c>
      <c r="L1338" s="93" t="s">
        <v>50</v>
      </c>
      <c r="M1338" s="13">
        <f>E1338*G1338*I1338*K1338</f>
        <v>7.5600000000000005</v>
      </c>
    </row>
    <row r="1339" spans="1:13" s="10" customFormat="1" ht="12.75">
      <c r="A1339" s="11"/>
      <c r="B1339" s="10" t="s">
        <v>662</v>
      </c>
      <c r="E1339" s="99" t="s">
        <v>267</v>
      </c>
      <c r="G1339" s="99" t="s">
        <v>264</v>
      </c>
      <c r="I1339" s="99" t="s">
        <v>291</v>
      </c>
      <c r="K1339" s="99" t="s">
        <v>315</v>
      </c>
      <c r="M1339" s="12"/>
    </row>
    <row r="1340" spans="1:13" s="10" customFormat="1" ht="12.75">
      <c r="A1340" s="11"/>
      <c r="M1340" s="12"/>
    </row>
    <row r="1341" spans="1:13" s="10" customFormat="1" ht="12.75">
      <c r="A1341" s="11"/>
      <c r="B1341" s="10" t="s">
        <v>856</v>
      </c>
      <c r="D1341" s="88" t="s">
        <v>50</v>
      </c>
      <c r="E1341" s="89">
        <v>0.8</v>
      </c>
      <c r="F1341" s="253" t="s">
        <v>69</v>
      </c>
      <c r="G1341" s="89">
        <v>2.1</v>
      </c>
      <c r="H1341" s="253" t="s">
        <v>69</v>
      </c>
      <c r="I1341" s="89">
        <v>1</v>
      </c>
      <c r="J1341" s="253" t="s">
        <v>69</v>
      </c>
      <c r="K1341" s="89">
        <v>2</v>
      </c>
      <c r="L1341" s="93" t="s">
        <v>50</v>
      </c>
      <c r="M1341" s="13">
        <f>E1341*G1341*I1341*K1341</f>
        <v>3.3600000000000003</v>
      </c>
    </row>
    <row r="1342" spans="1:13" s="10" customFormat="1" ht="12.75">
      <c r="A1342" s="11"/>
      <c r="B1342" s="10" t="s">
        <v>640</v>
      </c>
      <c r="E1342" s="99" t="s">
        <v>267</v>
      </c>
      <c r="G1342" s="99" t="s">
        <v>264</v>
      </c>
      <c r="I1342" s="99" t="s">
        <v>291</v>
      </c>
      <c r="K1342" s="99" t="s">
        <v>315</v>
      </c>
      <c r="M1342" s="12"/>
    </row>
    <row r="1343" spans="1:13" s="10" customFormat="1" ht="12.75">
      <c r="A1343" s="11"/>
      <c r="M1343" s="12"/>
    </row>
    <row r="1344" spans="1:13" s="10" customFormat="1" ht="12.75">
      <c r="A1344" s="11"/>
      <c r="B1344" s="10" t="s">
        <v>856</v>
      </c>
      <c r="D1344" s="88" t="s">
        <v>50</v>
      </c>
      <c r="E1344" s="89">
        <v>0.8</v>
      </c>
      <c r="F1344" s="253" t="s">
        <v>69</v>
      </c>
      <c r="G1344" s="89">
        <v>2.1</v>
      </c>
      <c r="H1344" s="253" t="s">
        <v>69</v>
      </c>
      <c r="I1344" s="89">
        <v>1</v>
      </c>
      <c r="J1344" s="253" t="s">
        <v>69</v>
      </c>
      <c r="K1344" s="89">
        <v>2</v>
      </c>
      <c r="L1344" s="93" t="s">
        <v>50</v>
      </c>
      <c r="M1344" s="13">
        <f>E1344*G1344*I1344*K1344</f>
        <v>3.3600000000000003</v>
      </c>
    </row>
    <row r="1345" spans="1:13" s="10" customFormat="1" ht="12.75">
      <c r="A1345" s="11"/>
      <c r="B1345" s="10" t="s">
        <v>669</v>
      </c>
      <c r="E1345" s="99" t="s">
        <v>267</v>
      </c>
      <c r="G1345" s="99" t="s">
        <v>264</v>
      </c>
      <c r="I1345" s="99" t="s">
        <v>291</v>
      </c>
      <c r="K1345" s="99" t="s">
        <v>315</v>
      </c>
      <c r="M1345" s="12"/>
    </row>
    <row r="1346" spans="1:13" s="10" customFormat="1" ht="12.75">
      <c r="A1346" s="11"/>
      <c r="M1346" s="12"/>
    </row>
    <row r="1347" spans="1:13" s="10" customFormat="1" ht="12.75">
      <c r="A1347" s="11"/>
      <c r="B1347" s="10" t="s">
        <v>857</v>
      </c>
      <c r="D1347" s="88" t="s">
        <v>50</v>
      </c>
      <c r="E1347" s="89">
        <v>0.7</v>
      </c>
      <c r="F1347" s="253" t="s">
        <v>69</v>
      </c>
      <c r="G1347" s="89">
        <v>2.1</v>
      </c>
      <c r="H1347" s="253" t="s">
        <v>69</v>
      </c>
      <c r="I1347" s="89">
        <v>1</v>
      </c>
      <c r="J1347" s="253" t="s">
        <v>69</v>
      </c>
      <c r="K1347" s="89">
        <v>2</v>
      </c>
      <c r="L1347" s="93" t="s">
        <v>50</v>
      </c>
      <c r="M1347" s="13">
        <f>E1347*G1347*I1347*K1347</f>
        <v>2.94</v>
      </c>
    </row>
    <row r="1348" spans="1:13" s="10" customFormat="1" ht="12.75">
      <c r="A1348" s="11"/>
      <c r="B1348" s="10" t="s">
        <v>642</v>
      </c>
      <c r="E1348" s="99" t="s">
        <v>267</v>
      </c>
      <c r="G1348" s="99" t="s">
        <v>264</v>
      </c>
      <c r="I1348" s="99" t="s">
        <v>291</v>
      </c>
      <c r="K1348" s="99" t="s">
        <v>315</v>
      </c>
      <c r="M1348" s="12"/>
    </row>
    <row r="1349" spans="1:13" s="10" customFormat="1" ht="12.75">
      <c r="A1349" s="11"/>
      <c r="M1349" s="12"/>
    </row>
    <row r="1350" spans="1:13" s="10" customFormat="1" ht="12.75">
      <c r="A1350" s="11"/>
      <c r="B1350" s="10" t="s">
        <v>857</v>
      </c>
      <c r="D1350" s="88" t="s">
        <v>50</v>
      </c>
      <c r="E1350" s="89">
        <v>0.7</v>
      </c>
      <c r="F1350" s="253" t="s">
        <v>69</v>
      </c>
      <c r="G1350" s="89">
        <v>2.1</v>
      </c>
      <c r="H1350" s="253" t="s">
        <v>69</v>
      </c>
      <c r="I1350" s="89">
        <v>1</v>
      </c>
      <c r="J1350" s="253" t="s">
        <v>69</v>
      </c>
      <c r="K1350" s="89">
        <v>2</v>
      </c>
      <c r="L1350" s="93" t="s">
        <v>50</v>
      </c>
      <c r="M1350" s="13">
        <f>E1350*G1350*I1350*K1350</f>
        <v>2.94</v>
      </c>
    </row>
    <row r="1351" spans="1:13" s="10" customFormat="1" ht="12.75">
      <c r="A1351" s="11"/>
      <c r="B1351" s="10" t="s">
        <v>599</v>
      </c>
      <c r="E1351" s="99" t="s">
        <v>267</v>
      </c>
      <c r="G1351" s="99" t="s">
        <v>264</v>
      </c>
      <c r="I1351" s="99" t="s">
        <v>291</v>
      </c>
      <c r="K1351" s="99" t="s">
        <v>315</v>
      </c>
      <c r="M1351" s="12"/>
    </row>
    <row r="1352" spans="1:13" s="10" customFormat="1" ht="12.75">
      <c r="A1352" s="11"/>
      <c r="M1352" s="12"/>
    </row>
    <row r="1353" spans="1:13" s="161" customFormat="1" ht="12.75">
      <c r="A1353" s="163"/>
      <c r="B1353" s="161" t="s">
        <v>10</v>
      </c>
      <c r="H1353" s="164"/>
      <c r="I1353" s="165" t="s">
        <v>265</v>
      </c>
      <c r="L1353" s="162" t="s">
        <v>50</v>
      </c>
      <c r="M1353" s="46">
        <f>SUM(M1335:M1350)</f>
        <v>23.94</v>
      </c>
    </row>
    <row r="1354" spans="1:13" s="10" customFormat="1" ht="12.75">
      <c r="A1354" s="11"/>
      <c r="M1354" s="12"/>
    </row>
    <row r="1355" spans="1:13" s="10" customFormat="1" ht="38.25" customHeight="1">
      <c r="A1355" s="106" t="str">
        <f>ORÇAMENTO!A210</f>
        <v>13.4.2</v>
      </c>
      <c r="B1355" s="107"/>
      <c r="C1355" s="383" t="str">
        <f>ORÇAMENTO!D210</f>
        <v xml:space="preserve">PINTURA ESMALTE EM ESQUADRIA DE MADEIRA, DUAS (2) DEMÃOS, INCLUSIVE UMA (1) DEMÃO DE FUNDO NIVELADOR, EXCLUSIVE MASSA A ÓLEO. </v>
      </c>
      <c r="D1355" s="383"/>
      <c r="E1355" s="383"/>
      <c r="F1355" s="383"/>
      <c r="G1355" s="383"/>
      <c r="H1355" s="383"/>
      <c r="I1355" s="383"/>
      <c r="J1355" s="383"/>
      <c r="K1355" s="383"/>
      <c r="L1355" s="383"/>
      <c r="M1355" s="108" t="str">
        <f>ORÇAMENTO!E210</f>
        <v>M2</v>
      </c>
    </row>
    <row r="1356" spans="1:13" s="10" customFormat="1" ht="12.75">
      <c r="A1356" s="11"/>
      <c r="M1356" s="12"/>
    </row>
    <row r="1357" spans="1:13" s="10" customFormat="1" ht="12.75">
      <c r="A1357" s="11"/>
      <c r="B1357" s="10" t="s">
        <v>855</v>
      </c>
      <c r="D1357" s="88" t="s">
        <v>50</v>
      </c>
      <c r="E1357" s="89">
        <v>0.9</v>
      </c>
      <c r="F1357" s="253" t="s">
        <v>69</v>
      </c>
      <c r="G1357" s="89">
        <v>2.1</v>
      </c>
      <c r="H1357" s="253" t="s">
        <v>69</v>
      </c>
      <c r="I1357" s="89">
        <v>1</v>
      </c>
      <c r="J1357" s="253" t="s">
        <v>69</v>
      </c>
      <c r="K1357" s="89">
        <v>2</v>
      </c>
      <c r="L1357" s="93" t="s">
        <v>50</v>
      </c>
      <c r="M1357" s="13">
        <f>E1357*G1357*I1357*K1357</f>
        <v>3.7800000000000002</v>
      </c>
    </row>
    <row r="1358" spans="1:13" s="10" customFormat="1" ht="12.75">
      <c r="A1358" s="11"/>
      <c r="B1358" s="10" t="s">
        <v>664</v>
      </c>
      <c r="E1358" s="99" t="s">
        <v>267</v>
      </c>
      <c r="G1358" s="99" t="s">
        <v>264</v>
      </c>
      <c r="I1358" s="99" t="s">
        <v>291</v>
      </c>
      <c r="K1358" s="99" t="s">
        <v>315</v>
      </c>
      <c r="M1358" s="12"/>
    </row>
    <row r="1359" spans="1:13" s="10" customFormat="1" ht="12.75">
      <c r="A1359" s="11"/>
      <c r="M1359" s="12"/>
    </row>
    <row r="1360" spans="1:13" s="10" customFormat="1" ht="12.75">
      <c r="A1360" s="11"/>
      <c r="B1360" s="10" t="s">
        <v>855</v>
      </c>
      <c r="D1360" s="88" t="s">
        <v>50</v>
      </c>
      <c r="E1360" s="89">
        <v>0.9</v>
      </c>
      <c r="F1360" s="253" t="s">
        <v>69</v>
      </c>
      <c r="G1360" s="89">
        <v>2.1</v>
      </c>
      <c r="H1360" s="253" t="s">
        <v>69</v>
      </c>
      <c r="I1360" s="89">
        <v>2</v>
      </c>
      <c r="J1360" s="253" t="s">
        <v>69</v>
      </c>
      <c r="K1360" s="89">
        <v>2</v>
      </c>
      <c r="L1360" s="93" t="s">
        <v>50</v>
      </c>
      <c r="M1360" s="13">
        <f>E1360*G1360*I1360*K1360</f>
        <v>7.5600000000000005</v>
      </c>
    </row>
    <row r="1361" spans="1:13" s="10" customFormat="1" ht="12.75">
      <c r="A1361" s="11"/>
      <c r="B1361" s="10" t="s">
        <v>662</v>
      </c>
      <c r="E1361" s="99" t="s">
        <v>267</v>
      </c>
      <c r="G1361" s="99" t="s">
        <v>264</v>
      </c>
      <c r="I1361" s="99" t="s">
        <v>291</v>
      </c>
      <c r="K1361" s="99" t="s">
        <v>315</v>
      </c>
      <c r="M1361" s="12"/>
    </row>
    <row r="1362" spans="1:13" s="10" customFormat="1" ht="12.75">
      <c r="A1362" s="11"/>
      <c r="M1362" s="12"/>
    </row>
    <row r="1363" spans="1:13" s="10" customFormat="1" ht="12.75">
      <c r="A1363" s="11"/>
      <c r="B1363" s="10" t="s">
        <v>856</v>
      </c>
      <c r="D1363" s="88" t="s">
        <v>50</v>
      </c>
      <c r="E1363" s="89">
        <v>0.8</v>
      </c>
      <c r="F1363" s="253" t="s">
        <v>69</v>
      </c>
      <c r="G1363" s="89">
        <v>2.1</v>
      </c>
      <c r="H1363" s="253" t="s">
        <v>69</v>
      </c>
      <c r="I1363" s="89">
        <v>1</v>
      </c>
      <c r="J1363" s="253" t="s">
        <v>69</v>
      </c>
      <c r="K1363" s="89">
        <v>2</v>
      </c>
      <c r="L1363" s="93" t="s">
        <v>50</v>
      </c>
      <c r="M1363" s="13">
        <f>E1363*G1363*I1363*K1363</f>
        <v>3.3600000000000003</v>
      </c>
    </row>
    <row r="1364" spans="1:13" s="10" customFormat="1" ht="12.75">
      <c r="A1364" s="11"/>
      <c r="B1364" s="10" t="s">
        <v>640</v>
      </c>
      <c r="E1364" s="99" t="s">
        <v>267</v>
      </c>
      <c r="G1364" s="99" t="s">
        <v>264</v>
      </c>
      <c r="I1364" s="99" t="s">
        <v>291</v>
      </c>
      <c r="K1364" s="99" t="s">
        <v>315</v>
      </c>
      <c r="M1364" s="12"/>
    </row>
    <row r="1365" spans="1:13" s="10" customFormat="1" ht="12.75">
      <c r="A1365" s="11"/>
      <c r="M1365" s="12"/>
    </row>
    <row r="1366" spans="1:13" s="10" customFormat="1" ht="12.75">
      <c r="A1366" s="11"/>
      <c r="B1366" s="10" t="s">
        <v>856</v>
      </c>
      <c r="D1366" s="88" t="s">
        <v>50</v>
      </c>
      <c r="E1366" s="89">
        <v>0.8</v>
      </c>
      <c r="F1366" s="253" t="s">
        <v>69</v>
      </c>
      <c r="G1366" s="89">
        <v>2.1</v>
      </c>
      <c r="H1366" s="253" t="s">
        <v>69</v>
      </c>
      <c r="I1366" s="89">
        <v>1</v>
      </c>
      <c r="J1366" s="253" t="s">
        <v>69</v>
      </c>
      <c r="K1366" s="89">
        <v>2</v>
      </c>
      <c r="L1366" s="93" t="s">
        <v>50</v>
      </c>
      <c r="M1366" s="13">
        <f>E1366*G1366*I1366*K1366</f>
        <v>3.3600000000000003</v>
      </c>
    </row>
    <row r="1367" spans="1:13" s="10" customFormat="1" ht="12.75">
      <c r="A1367" s="11"/>
      <c r="B1367" s="10" t="s">
        <v>669</v>
      </c>
      <c r="E1367" s="99" t="s">
        <v>267</v>
      </c>
      <c r="G1367" s="99" t="s">
        <v>264</v>
      </c>
      <c r="I1367" s="99" t="s">
        <v>291</v>
      </c>
      <c r="K1367" s="99" t="s">
        <v>315</v>
      </c>
      <c r="M1367" s="12"/>
    </row>
    <row r="1368" spans="1:13" s="10" customFormat="1" ht="12.75">
      <c r="A1368" s="11"/>
      <c r="M1368" s="12"/>
    </row>
    <row r="1369" spans="1:13" s="10" customFormat="1" ht="12.75">
      <c r="A1369" s="11"/>
      <c r="B1369" s="10" t="s">
        <v>857</v>
      </c>
      <c r="D1369" s="88" t="s">
        <v>50</v>
      </c>
      <c r="E1369" s="89">
        <v>0.7</v>
      </c>
      <c r="F1369" s="253" t="s">
        <v>69</v>
      </c>
      <c r="G1369" s="89">
        <v>2.1</v>
      </c>
      <c r="H1369" s="253" t="s">
        <v>69</v>
      </c>
      <c r="I1369" s="89">
        <v>1</v>
      </c>
      <c r="J1369" s="253" t="s">
        <v>69</v>
      </c>
      <c r="K1369" s="89">
        <v>2</v>
      </c>
      <c r="L1369" s="93" t="s">
        <v>50</v>
      </c>
      <c r="M1369" s="13">
        <f>E1369*G1369*I1369*K1369</f>
        <v>2.94</v>
      </c>
    </row>
    <row r="1370" spans="1:13" s="10" customFormat="1" ht="12.75">
      <c r="A1370" s="11"/>
      <c r="B1370" s="10" t="s">
        <v>642</v>
      </c>
      <c r="E1370" s="99" t="s">
        <v>267</v>
      </c>
      <c r="G1370" s="99" t="s">
        <v>264</v>
      </c>
      <c r="I1370" s="99" t="s">
        <v>291</v>
      </c>
      <c r="K1370" s="99" t="s">
        <v>315</v>
      </c>
      <c r="M1370" s="12"/>
    </row>
    <row r="1371" spans="1:13" s="10" customFormat="1" ht="12.75">
      <c r="A1371" s="11"/>
      <c r="M1371" s="12"/>
    </row>
    <row r="1372" spans="1:13" s="10" customFormat="1" ht="12.75">
      <c r="A1372" s="11"/>
      <c r="B1372" s="10" t="s">
        <v>857</v>
      </c>
      <c r="D1372" s="88" t="s">
        <v>50</v>
      </c>
      <c r="E1372" s="89">
        <v>0.7</v>
      </c>
      <c r="F1372" s="253" t="s">
        <v>69</v>
      </c>
      <c r="G1372" s="89">
        <v>2.1</v>
      </c>
      <c r="H1372" s="253" t="s">
        <v>69</v>
      </c>
      <c r="I1372" s="89">
        <v>1</v>
      </c>
      <c r="J1372" s="253" t="s">
        <v>69</v>
      </c>
      <c r="K1372" s="89">
        <v>2</v>
      </c>
      <c r="L1372" s="93" t="s">
        <v>50</v>
      </c>
      <c r="M1372" s="13">
        <f>E1372*G1372*I1372*K1372</f>
        <v>2.94</v>
      </c>
    </row>
    <row r="1373" spans="1:13" s="10" customFormat="1" ht="12.75">
      <c r="A1373" s="11"/>
      <c r="B1373" s="10" t="s">
        <v>599</v>
      </c>
      <c r="E1373" s="99" t="s">
        <v>267</v>
      </c>
      <c r="G1373" s="99" t="s">
        <v>264</v>
      </c>
      <c r="I1373" s="99" t="s">
        <v>291</v>
      </c>
      <c r="K1373" s="99" t="s">
        <v>315</v>
      </c>
      <c r="M1373" s="12"/>
    </row>
    <row r="1374" spans="1:13" s="10" customFormat="1" ht="12.75">
      <c r="A1374" s="11"/>
      <c r="M1374" s="12"/>
    </row>
    <row r="1375" spans="1:13" s="161" customFormat="1" ht="12.75">
      <c r="A1375" s="163"/>
      <c r="B1375" s="161" t="s">
        <v>10</v>
      </c>
      <c r="H1375" s="164"/>
      <c r="I1375" s="165" t="s">
        <v>265</v>
      </c>
      <c r="L1375" s="162" t="s">
        <v>50</v>
      </c>
      <c r="M1375" s="46">
        <f>SUM(M1357:M1372)</f>
        <v>23.94</v>
      </c>
    </row>
    <row r="1376" spans="1:13" s="10" customFormat="1" ht="12.75">
      <c r="A1376" s="11"/>
      <c r="M1376" s="12"/>
    </row>
    <row r="1377" spans="1:13" s="10" customFormat="1" ht="15">
      <c r="A1377" s="16" t="str">
        <f>ORÇAMENTO!A213</f>
        <v>14.</v>
      </c>
      <c r="B1377" s="85"/>
      <c r="C1377" s="386" t="str">
        <f>ORÇAMENTO!B213</f>
        <v>PISOS</v>
      </c>
      <c r="D1377" s="386"/>
      <c r="E1377" s="386"/>
      <c r="F1377" s="386"/>
      <c r="G1377" s="386"/>
      <c r="H1377" s="386"/>
      <c r="I1377" s="386"/>
      <c r="J1377" s="386"/>
      <c r="K1377" s="386"/>
      <c r="L1377" s="386"/>
      <c r="M1377" s="387"/>
    </row>
    <row r="1378" spans="1:13" s="10" customFormat="1" ht="15">
      <c r="A1378" s="41"/>
      <c r="C1378" s="186"/>
      <c r="D1378" s="186"/>
      <c r="E1378" s="186"/>
      <c r="F1378" s="186"/>
      <c r="G1378" s="186"/>
      <c r="H1378" s="186"/>
      <c r="I1378" s="186"/>
      <c r="J1378" s="186"/>
      <c r="K1378" s="186"/>
      <c r="L1378" s="186"/>
      <c r="M1378" s="187"/>
    </row>
    <row r="1379" spans="1:13" customFormat="1" ht="35.25" customHeight="1">
      <c r="A1379" s="134" t="str">
        <f>ORÇAMENTO!A214</f>
        <v>14.1</v>
      </c>
      <c r="B1379" s="135"/>
      <c r="C1379" s="383" t="str">
        <f>ORÇAMENTO!D214</f>
        <v>REVESTIMENTO CERÂMICO PARA PISO COM PLACAS TIPO PORCELANATO DE DIMENSÕES 60X60 CM APLICADA EM AMBIENTES DE ÁREA MENOR QUE 5 M². AF_02/2023_PE</v>
      </c>
      <c r="D1379" s="383"/>
      <c r="E1379" s="383"/>
      <c r="F1379" s="383"/>
      <c r="G1379" s="383"/>
      <c r="H1379" s="383"/>
      <c r="I1379" s="383"/>
      <c r="J1379" s="383"/>
      <c r="K1379" s="383"/>
      <c r="L1379" s="383"/>
      <c r="M1379" s="108" t="str">
        <f>ORÇAMENTO!E214</f>
        <v>M2</v>
      </c>
    </row>
    <row r="1380" spans="1:13" customFormat="1" ht="12.75">
      <c r="A1380" s="136"/>
      <c r="B1380" s="137"/>
      <c r="E1380" s="138"/>
      <c r="G1380" s="138"/>
      <c r="I1380" s="138"/>
      <c r="M1380" s="139"/>
    </row>
    <row r="1381" spans="1:13" customFormat="1" ht="12.75">
      <c r="A1381" s="136"/>
      <c r="B1381" s="10" t="s">
        <v>571</v>
      </c>
      <c r="D1381" s="140" t="s">
        <v>50</v>
      </c>
      <c r="E1381" s="141">
        <v>2.9670000000000001</v>
      </c>
      <c r="F1381" s="142"/>
      <c r="G1381" s="148"/>
      <c r="H1381" s="142"/>
      <c r="I1381" s="143"/>
      <c r="J1381" s="144"/>
      <c r="K1381" s="144"/>
      <c r="L1381" s="145" t="s">
        <v>50</v>
      </c>
      <c r="M1381" s="146">
        <f>E1381</f>
        <v>2.9670000000000001</v>
      </c>
    </row>
    <row r="1382" spans="1:13" customFormat="1" ht="12.75">
      <c r="A1382" s="136"/>
      <c r="B1382" s="10" t="s">
        <v>640</v>
      </c>
      <c r="E1382" s="138" t="s">
        <v>121</v>
      </c>
      <c r="G1382" s="138"/>
      <c r="I1382" s="138"/>
      <c r="M1382" s="139"/>
    </row>
    <row r="1383" spans="1:13" customFormat="1" ht="12.75">
      <c r="A1383" s="136"/>
      <c r="B1383" s="137"/>
      <c r="E1383" s="138"/>
      <c r="G1383" s="138"/>
      <c r="I1383" s="138"/>
      <c r="M1383" s="139"/>
    </row>
    <row r="1384" spans="1:13" customFormat="1" ht="12.75">
      <c r="A1384" s="136"/>
      <c r="B1384" s="10" t="s">
        <v>572</v>
      </c>
      <c r="D1384" s="140" t="s">
        <v>50</v>
      </c>
      <c r="E1384" s="141">
        <v>4.8600000000000003</v>
      </c>
      <c r="F1384" s="142"/>
      <c r="G1384" s="148"/>
      <c r="H1384" s="142"/>
      <c r="I1384" s="143"/>
      <c r="J1384" s="144"/>
      <c r="K1384" s="144"/>
      <c r="L1384" s="145" t="s">
        <v>50</v>
      </c>
      <c r="M1384" s="146">
        <f>E1384</f>
        <v>4.8600000000000003</v>
      </c>
    </row>
    <row r="1385" spans="1:13" customFormat="1" ht="12.75">
      <c r="A1385" s="136"/>
      <c r="B1385" s="10" t="s">
        <v>640</v>
      </c>
      <c r="E1385" s="138" t="s">
        <v>121</v>
      </c>
      <c r="G1385" s="138"/>
      <c r="I1385" s="138"/>
      <c r="M1385" s="139"/>
    </row>
    <row r="1386" spans="1:13" customFormat="1" ht="12.75">
      <c r="A1386" s="136"/>
      <c r="B1386" s="137"/>
      <c r="E1386" s="138"/>
      <c r="G1386" s="138"/>
      <c r="I1386" s="138"/>
      <c r="M1386" s="139"/>
    </row>
    <row r="1387" spans="1:13" customFormat="1" ht="12.75">
      <c r="A1387" s="136"/>
      <c r="B1387" s="10" t="s">
        <v>860</v>
      </c>
      <c r="D1387" s="140" t="s">
        <v>50</v>
      </c>
      <c r="E1387" s="141">
        <v>3.76</v>
      </c>
      <c r="F1387" s="142"/>
      <c r="G1387" s="148"/>
      <c r="H1387" s="142"/>
      <c r="I1387" s="143"/>
      <c r="J1387" s="144"/>
      <c r="K1387" s="144"/>
      <c r="L1387" s="145" t="s">
        <v>50</v>
      </c>
      <c r="M1387" s="146">
        <f>E1387</f>
        <v>3.76</v>
      </c>
    </row>
    <row r="1388" spans="1:13" customFormat="1" ht="12.75">
      <c r="A1388" s="136"/>
      <c r="B1388" s="10" t="s">
        <v>640</v>
      </c>
      <c r="E1388" s="138" t="s">
        <v>121</v>
      </c>
      <c r="G1388" s="138"/>
      <c r="I1388" s="138"/>
      <c r="M1388" s="139"/>
    </row>
    <row r="1389" spans="1:13" customFormat="1" ht="12.75">
      <c r="A1389" s="136"/>
      <c r="B1389" s="137"/>
      <c r="E1389" s="138"/>
      <c r="G1389" s="138"/>
      <c r="I1389" s="138"/>
      <c r="M1389" s="139"/>
    </row>
    <row r="1390" spans="1:13" customFormat="1" ht="12.75">
      <c r="A1390" s="136"/>
      <c r="B1390" s="10" t="s">
        <v>573</v>
      </c>
      <c r="D1390" s="140" t="s">
        <v>50</v>
      </c>
      <c r="E1390" s="141">
        <v>3.12</v>
      </c>
      <c r="F1390" s="142"/>
      <c r="G1390" s="148"/>
      <c r="H1390" s="142"/>
      <c r="I1390" s="143"/>
      <c r="J1390" s="144"/>
      <c r="K1390" s="144"/>
      <c r="L1390" s="145" t="s">
        <v>50</v>
      </c>
      <c r="M1390" s="146">
        <f>E1390</f>
        <v>3.12</v>
      </c>
    </row>
    <row r="1391" spans="1:13" customFormat="1" ht="12.75">
      <c r="A1391" s="136"/>
      <c r="B1391" s="10" t="s">
        <v>548</v>
      </c>
      <c r="E1391" s="138" t="s">
        <v>121</v>
      </c>
      <c r="G1391" s="138"/>
      <c r="I1391" s="138"/>
      <c r="M1391" s="139"/>
    </row>
    <row r="1392" spans="1:13" customFormat="1" ht="12.75">
      <c r="A1392" s="136"/>
      <c r="B1392" s="137"/>
      <c r="E1392" s="138"/>
      <c r="G1392" s="138"/>
      <c r="I1392" s="138"/>
      <c r="M1392" s="139"/>
    </row>
    <row r="1393" spans="1:13" customFormat="1" ht="12.75">
      <c r="A1393" s="136"/>
      <c r="B1393" s="10" t="s">
        <v>574</v>
      </c>
      <c r="D1393" s="140" t="s">
        <v>50</v>
      </c>
      <c r="E1393" s="141">
        <v>3.4319999999999999</v>
      </c>
      <c r="F1393" s="142"/>
      <c r="G1393" s="148"/>
      <c r="H1393" s="142"/>
      <c r="I1393" s="143"/>
      <c r="J1393" s="144"/>
      <c r="K1393" s="144"/>
      <c r="L1393" s="145" t="s">
        <v>50</v>
      </c>
      <c r="M1393" s="146">
        <f>E1393</f>
        <v>3.4319999999999999</v>
      </c>
    </row>
    <row r="1394" spans="1:13" customFormat="1" ht="12.75">
      <c r="A1394" s="136"/>
      <c r="B1394" s="10" t="s">
        <v>548</v>
      </c>
      <c r="E1394" s="138" t="s">
        <v>121</v>
      </c>
      <c r="G1394" s="138"/>
      <c r="I1394" s="138"/>
      <c r="M1394" s="139"/>
    </row>
    <row r="1395" spans="1:13" customFormat="1" ht="12.75">
      <c r="A1395" s="136"/>
      <c r="B1395" s="137"/>
      <c r="E1395" s="138"/>
      <c r="G1395" s="138"/>
      <c r="I1395" s="138"/>
      <c r="M1395" s="139"/>
    </row>
    <row r="1396" spans="1:13" customFormat="1" ht="12.75">
      <c r="A1396" s="136"/>
      <c r="B1396" s="10" t="s">
        <v>575</v>
      </c>
      <c r="D1396" s="140" t="s">
        <v>50</v>
      </c>
      <c r="E1396" s="141">
        <v>1.9</v>
      </c>
      <c r="F1396" s="142"/>
      <c r="G1396" s="148"/>
      <c r="H1396" s="142"/>
      <c r="I1396" s="143"/>
      <c r="J1396" s="144"/>
      <c r="K1396" s="144"/>
      <c r="L1396" s="145" t="s">
        <v>50</v>
      </c>
      <c r="M1396" s="146">
        <f>E1396</f>
        <v>1.9</v>
      </c>
    </row>
    <row r="1397" spans="1:13" customFormat="1" ht="12.75">
      <c r="A1397" s="136"/>
      <c r="B1397" s="10" t="s">
        <v>548</v>
      </c>
      <c r="E1397" s="138" t="s">
        <v>121</v>
      </c>
      <c r="G1397" s="138"/>
      <c r="I1397" s="138"/>
      <c r="M1397" s="139"/>
    </row>
    <row r="1398" spans="1:13" customFormat="1" ht="12.75">
      <c r="A1398" s="136"/>
      <c r="B1398" s="137"/>
      <c r="E1398" s="138"/>
      <c r="G1398" s="138"/>
      <c r="I1398" s="138"/>
      <c r="M1398" s="139"/>
    </row>
    <row r="1399" spans="1:13" customFormat="1" ht="12.75">
      <c r="A1399" s="136"/>
      <c r="B1399" s="10" t="s">
        <v>861</v>
      </c>
      <c r="D1399" s="140" t="s">
        <v>50</v>
      </c>
      <c r="E1399" s="141">
        <v>3.1219999999999999</v>
      </c>
      <c r="F1399" s="142"/>
      <c r="G1399" s="148"/>
      <c r="H1399" s="142"/>
      <c r="I1399" s="143"/>
      <c r="J1399" s="144"/>
      <c r="K1399" s="144"/>
      <c r="L1399" s="145" t="s">
        <v>50</v>
      </c>
      <c r="M1399" s="146">
        <f>E1399</f>
        <v>3.1219999999999999</v>
      </c>
    </row>
    <row r="1400" spans="1:13" customFormat="1" ht="12.75">
      <c r="A1400" s="136"/>
      <c r="B1400" s="10" t="s">
        <v>548</v>
      </c>
      <c r="E1400" s="138" t="s">
        <v>121</v>
      </c>
      <c r="G1400" s="138"/>
      <c r="I1400" s="138"/>
      <c r="M1400" s="139"/>
    </row>
    <row r="1401" spans="1:13" customFormat="1" ht="12.75">
      <c r="A1401" s="136"/>
      <c r="B1401" s="137"/>
      <c r="E1401" s="138"/>
      <c r="G1401" s="138"/>
      <c r="I1401" s="138"/>
      <c r="M1401" s="139"/>
    </row>
    <row r="1402" spans="1:13" customFormat="1" ht="12.75">
      <c r="A1402" s="136"/>
      <c r="B1402" s="10" t="s">
        <v>577</v>
      </c>
      <c r="D1402" s="140" t="s">
        <v>50</v>
      </c>
      <c r="E1402" s="141">
        <v>3.7519999999999998</v>
      </c>
      <c r="F1402" s="142"/>
      <c r="G1402" s="148"/>
      <c r="H1402" s="142"/>
      <c r="I1402" s="143"/>
      <c r="J1402" s="144"/>
      <c r="K1402" s="144"/>
      <c r="L1402" s="145" t="s">
        <v>50</v>
      </c>
      <c r="M1402" s="146">
        <f>E1402</f>
        <v>3.7519999999999998</v>
      </c>
    </row>
    <row r="1403" spans="1:13" customFormat="1" ht="12.75">
      <c r="A1403" s="136"/>
      <c r="B1403" s="10" t="s">
        <v>548</v>
      </c>
      <c r="E1403" s="138" t="s">
        <v>121</v>
      </c>
      <c r="G1403" s="138"/>
      <c r="I1403" s="138"/>
      <c r="M1403" s="139"/>
    </row>
    <row r="1404" spans="1:13" customFormat="1" ht="12.75">
      <c r="A1404" s="136"/>
      <c r="B1404" s="137"/>
      <c r="E1404" s="138"/>
      <c r="G1404" s="138"/>
      <c r="I1404" s="138"/>
      <c r="M1404" s="139"/>
    </row>
    <row r="1405" spans="1:13" customFormat="1" ht="12.75">
      <c r="A1405" s="136"/>
      <c r="B1405" s="10" t="s">
        <v>576</v>
      </c>
      <c r="D1405" s="140" t="s">
        <v>50</v>
      </c>
      <c r="E1405" s="141">
        <v>3.7519999999999998</v>
      </c>
      <c r="F1405" s="142"/>
      <c r="G1405" s="148"/>
      <c r="H1405" s="142"/>
      <c r="I1405" s="143"/>
      <c r="J1405" s="144"/>
      <c r="K1405" s="144"/>
      <c r="L1405" s="145" t="s">
        <v>50</v>
      </c>
      <c r="M1405" s="146">
        <f>E1405</f>
        <v>3.7519999999999998</v>
      </c>
    </row>
    <row r="1406" spans="1:13" customFormat="1" ht="12.75">
      <c r="A1406" s="136"/>
      <c r="B1406" s="10" t="s">
        <v>548</v>
      </c>
      <c r="E1406" s="138" t="s">
        <v>121</v>
      </c>
      <c r="G1406" s="138"/>
      <c r="I1406" s="138"/>
      <c r="M1406" s="139"/>
    </row>
    <row r="1407" spans="1:13" customFormat="1" ht="12.75">
      <c r="A1407" s="136"/>
      <c r="B1407" s="137"/>
      <c r="E1407" s="138"/>
      <c r="G1407" s="138"/>
      <c r="I1407" s="138"/>
      <c r="M1407" s="139"/>
    </row>
    <row r="1408" spans="1:13" customFormat="1" ht="12.75">
      <c r="A1408" s="136"/>
      <c r="B1408" s="10" t="s">
        <v>578</v>
      </c>
      <c r="D1408" s="140" t="s">
        <v>50</v>
      </c>
      <c r="E1408" s="141">
        <v>2.492</v>
      </c>
      <c r="F1408" s="142"/>
      <c r="G1408" s="148"/>
      <c r="H1408" s="142"/>
      <c r="I1408" s="143"/>
      <c r="J1408" s="144"/>
      <c r="K1408" s="144"/>
      <c r="L1408" s="145" t="s">
        <v>50</v>
      </c>
      <c r="M1408" s="146">
        <f>E1408</f>
        <v>2.492</v>
      </c>
    </row>
    <row r="1409" spans="1:28" customFormat="1" ht="12.75">
      <c r="A1409" s="136"/>
      <c r="B1409" s="10" t="s">
        <v>548</v>
      </c>
      <c r="E1409" s="138" t="s">
        <v>121</v>
      </c>
      <c r="G1409" s="138"/>
      <c r="I1409" s="138"/>
      <c r="M1409" s="139"/>
    </row>
    <row r="1410" spans="1:28" customFormat="1" ht="12.75">
      <c r="A1410" s="136"/>
      <c r="B1410" s="137"/>
      <c r="E1410" s="138"/>
      <c r="G1410" s="138"/>
      <c r="I1410" s="138"/>
      <c r="M1410" s="139"/>
    </row>
    <row r="1411" spans="1:28" customFormat="1" ht="12.75">
      <c r="A1411" s="136"/>
      <c r="B1411" s="10" t="s">
        <v>579</v>
      </c>
      <c r="D1411" s="140" t="s">
        <v>50</v>
      </c>
      <c r="E1411" s="141">
        <v>2.5449999999999999</v>
      </c>
      <c r="F1411" s="142"/>
      <c r="G1411" s="148"/>
      <c r="H1411" s="142"/>
      <c r="I1411" s="143"/>
      <c r="J1411" s="144"/>
      <c r="K1411" s="144"/>
      <c r="L1411" s="145" t="s">
        <v>50</v>
      </c>
      <c r="M1411" s="146">
        <f>E1411</f>
        <v>2.5449999999999999</v>
      </c>
    </row>
    <row r="1412" spans="1:28" customFormat="1" ht="12.75">
      <c r="A1412" s="136"/>
      <c r="B1412" s="10" t="s">
        <v>548</v>
      </c>
      <c r="E1412" s="138" t="s">
        <v>121</v>
      </c>
      <c r="G1412" s="138"/>
      <c r="I1412" s="138"/>
      <c r="M1412" s="139"/>
    </row>
    <row r="1413" spans="1:28" customFormat="1" ht="12.75">
      <c r="A1413" s="136"/>
      <c r="B1413" s="137"/>
      <c r="E1413" s="138"/>
      <c r="G1413" s="138"/>
      <c r="I1413" s="138"/>
      <c r="M1413" s="139"/>
    </row>
    <row r="1414" spans="1:28" customFormat="1" ht="12.75">
      <c r="A1414" s="136"/>
      <c r="B1414" s="10" t="s">
        <v>580</v>
      </c>
      <c r="D1414" s="140" t="s">
        <v>50</v>
      </c>
      <c r="E1414" s="141">
        <v>4.8</v>
      </c>
      <c r="F1414" s="142"/>
      <c r="G1414" s="148"/>
      <c r="H1414" s="142"/>
      <c r="I1414" s="143"/>
      <c r="J1414" s="144"/>
      <c r="K1414" s="144"/>
      <c r="L1414" s="145" t="s">
        <v>50</v>
      </c>
      <c r="M1414" s="146">
        <f>E1414</f>
        <v>4.8</v>
      </c>
    </row>
    <row r="1415" spans="1:28" customFormat="1" ht="12.75">
      <c r="A1415" s="136"/>
      <c r="B1415" s="10" t="s">
        <v>577</v>
      </c>
      <c r="E1415" s="138" t="s">
        <v>121</v>
      </c>
      <c r="G1415" s="138"/>
      <c r="I1415" s="138"/>
      <c r="M1415" s="139"/>
    </row>
    <row r="1416" spans="1:28" customFormat="1" ht="12.75">
      <c r="A1416" s="136"/>
      <c r="B1416" s="137"/>
      <c r="E1416" s="138"/>
      <c r="G1416" s="138"/>
      <c r="I1416" s="138"/>
      <c r="M1416" s="139"/>
    </row>
    <row r="1417" spans="1:28" s="161" customFormat="1" ht="12.75">
      <c r="A1417" s="163"/>
      <c r="B1417" s="161" t="s">
        <v>10</v>
      </c>
      <c r="H1417" s="164"/>
      <c r="I1417" s="165" t="s">
        <v>265</v>
      </c>
      <c r="L1417" s="162" t="s">
        <v>50</v>
      </c>
      <c r="M1417" s="46">
        <f>SUM(M1381:M1414)</f>
        <v>40.501999999999995</v>
      </c>
    </row>
    <row r="1418" spans="1:28" customFormat="1" ht="12.75">
      <c r="A1418" s="147"/>
      <c r="B1418" s="137"/>
      <c r="E1418" s="138"/>
      <c r="G1418" s="138"/>
      <c r="I1418" s="138"/>
      <c r="M1418" s="139"/>
      <c r="Q1418" s="137"/>
      <c r="S1418" s="140"/>
      <c r="T1418" s="148"/>
      <c r="U1418" s="142"/>
      <c r="V1418" s="148"/>
      <c r="Y1418" s="144"/>
      <c r="Z1418" s="144"/>
      <c r="AA1418" s="145"/>
      <c r="AB1418" s="148"/>
    </row>
    <row r="1419" spans="1:28" customFormat="1" ht="35.25" customHeight="1">
      <c r="A1419" s="134" t="str">
        <f>ORÇAMENTO!A215</f>
        <v>14.2</v>
      </c>
      <c r="B1419" s="135"/>
      <c r="C1419" s="383" t="str">
        <f>ORÇAMENTO!D215</f>
        <v>REVESTIMENTO CERÂMICO PARA PISO COM PLACAS TIPO PORCELANATO DE DIMENSÕES 60X60 CM APLICADA EM AMBIENTES DE ÁREA ENTRE 5 M² E 10 M². AF_02/2023_PE</v>
      </c>
      <c r="D1419" s="383"/>
      <c r="E1419" s="383"/>
      <c r="F1419" s="383"/>
      <c r="G1419" s="383"/>
      <c r="H1419" s="383"/>
      <c r="I1419" s="383"/>
      <c r="J1419" s="383"/>
      <c r="K1419" s="383"/>
      <c r="L1419" s="383"/>
      <c r="M1419" s="108" t="str">
        <f>ORÇAMENTO!E215</f>
        <v>M2</v>
      </c>
    </row>
    <row r="1420" spans="1:28" customFormat="1" ht="12.75">
      <c r="A1420" s="136"/>
      <c r="B1420" s="137"/>
      <c r="E1420" s="138"/>
      <c r="G1420" s="138"/>
      <c r="I1420" s="138"/>
      <c r="M1420" s="139"/>
    </row>
    <row r="1421" spans="1:28" customFormat="1" ht="12.75">
      <c r="A1421" s="136"/>
      <c r="B1421" s="152" t="s">
        <v>640</v>
      </c>
      <c r="D1421" s="140" t="s">
        <v>50</v>
      </c>
      <c r="E1421" s="141">
        <v>9.0069999999999997</v>
      </c>
      <c r="F1421" s="142"/>
      <c r="G1421" s="148"/>
      <c r="H1421" s="142"/>
      <c r="I1421" s="143"/>
      <c r="J1421" s="144"/>
      <c r="K1421" s="144"/>
      <c r="L1421" s="145" t="s">
        <v>50</v>
      </c>
      <c r="M1421" s="146">
        <f>E1421</f>
        <v>9.0069999999999997</v>
      </c>
    </row>
    <row r="1422" spans="1:28" customFormat="1" ht="12.75">
      <c r="A1422" s="136"/>
      <c r="B1422" s="10" t="s">
        <v>616</v>
      </c>
      <c r="E1422" s="138" t="s">
        <v>121</v>
      </c>
      <c r="G1422" s="138"/>
      <c r="I1422" s="138"/>
      <c r="M1422" s="139"/>
    </row>
    <row r="1423" spans="1:28" customFormat="1" ht="12.75">
      <c r="A1423" s="136"/>
      <c r="B1423" s="137"/>
      <c r="E1423" s="138"/>
      <c r="G1423" s="138"/>
      <c r="I1423" s="138"/>
      <c r="M1423" s="139"/>
    </row>
    <row r="1424" spans="1:28" customFormat="1" ht="12.75">
      <c r="A1424" s="136"/>
      <c r="B1424" s="152" t="s">
        <v>581</v>
      </c>
      <c r="D1424" s="140" t="s">
        <v>50</v>
      </c>
      <c r="E1424" s="141">
        <v>7.53</v>
      </c>
      <c r="F1424" s="142"/>
      <c r="G1424" s="148"/>
      <c r="H1424" s="142"/>
      <c r="I1424" s="143"/>
      <c r="J1424" s="144"/>
      <c r="K1424" s="144"/>
      <c r="L1424" s="145" t="s">
        <v>50</v>
      </c>
      <c r="M1424" s="146">
        <f>E1424</f>
        <v>7.53</v>
      </c>
    </row>
    <row r="1425" spans="1:13" customFormat="1" ht="12.75">
      <c r="A1425" s="136"/>
      <c r="B1425" s="10" t="s">
        <v>616</v>
      </c>
      <c r="E1425" s="138" t="s">
        <v>121</v>
      </c>
      <c r="G1425" s="138"/>
      <c r="I1425" s="138"/>
      <c r="M1425" s="139"/>
    </row>
    <row r="1426" spans="1:13" customFormat="1" ht="12.75">
      <c r="A1426" s="136"/>
      <c r="B1426" s="137"/>
      <c r="E1426" s="138"/>
      <c r="G1426" s="138"/>
      <c r="I1426" s="138"/>
      <c r="M1426" s="139"/>
    </row>
    <row r="1427" spans="1:13" customFormat="1" ht="12.75">
      <c r="A1427" s="136"/>
      <c r="B1427" s="152" t="s">
        <v>582</v>
      </c>
      <c r="D1427" s="140" t="s">
        <v>50</v>
      </c>
      <c r="E1427" s="141">
        <v>8.3019999999999996</v>
      </c>
      <c r="F1427" s="142"/>
      <c r="G1427" s="148"/>
      <c r="H1427" s="142"/>
      <c r="I1427" s="143"/>
      <c r="J1427" s="144"/>
      <c r="K1427" s="144"/>
      <c r="L1427" s="145" t="s">
        <v>50</v>
      </c>
      <c r="M1427" s="146">
        <f>E1427</f>
        <v>8.3019999999999996</v>
      </c>
    </row>
    <row r="1428" spans="1:13" customFormat="1" ht="12.75">
      <c r="A1428" s="136"/>
      <c r="B1428" s="10" t="s">
        <v>548</v>
      </c>
      <c r="E1428" s="138" t="s">
        <v>121</v>
      </c>
      <c r="G1428" s="138"/>
      <c r="I1428" s="138"/>
      <c r="M1428" s="139"/>
    </row>
    <row r="1429" spans="1:13" customFormat="1" ht="12.75">
      <c r="A1429" s="136"/>
      <c r="B1429" s="137"/>
      <c r="E1429" s="138"/>
      <c r="G1429" s="138"/>
      <c r="I1429" s="138"/>
      <c r="M1429" s="139"/>
    </row>
    <row r="1430" spans="1:13" customFormat="1" ht="12.75">
      <c r="A1430" s="136"/>
      <c r="B1430" s="137" t="s">
        <v>583</v>
      </c>
      <c r="D1430" s="140" t="s">
        <v>50</v>
      </c>
      <c r="E1430" s="141">
        <v>8.1430000000000007</v>
      </c>
      <c r="F1430" s="142"/>
      <c r="G1430" s="148"/>
      <c r="H1430" s="142"/>
      <c r="I1430" s="143"/>
      <c r="J1430" s="144"/>
      <c r="K1430" s="144"/>
      <c r="L1430" s="145" t="s">
        <v>50</v>
      </c>
      <c r="M1430" s="146">
        <f>E1430</f>
        <v>8.1430000000000007</v>
      </c>
    </row>
    <row r="1431" spans="1:13" customFormat="1" ht="12.75">
      <c r="A1431" s="136"/>
      <c r="B1431" s="10" t="s">
        <v>548</v>
      </c>
      <c r="E1431" s="138" t="s">
        <v>121</v>
      </c>
      <c r="G1431" s="138"/>
      <c r="I1431" s="138"/>
      <c r="M1431" s="139"/>
    </row>
    <row r="1432" spans="1:13" customFormat="1" ht="12.75">
      <c r="A1432" s="136"/>
      <c r="B1432" s="137"/>
      <c r="E1432" s="138"/>
      <c r="G1432" s="138"/>
      <c r="I1432" s="138"/>
      <c r="M1432" s="139"/>
    </row>
    <row r="1433" spans="1:13" customFormat="1" ht="12.75">
      <c r="A1433" s="136"/>
      <c r="B1433" s="137" t="s">
        <v>584</v>
      </c>
      <c r="D1433" s="140" t="s">
        <v>50</v>
      </c>
      <c r="E1433" s="141">
        <v>9.25</v>
      </c>
      <c r="F1433" s="142"/>
      <c r="G1433" s="148"/>
      <c r="H1433" s="142"/>
      <c r="I1433" s="143"/>
      <c r="J1433" s="144"/>
      <c r="K1433" s="144"/>
      <c r="L1433" s="145" t="s">
        <v>50</v>
      </c>
      <c r="M1433" s="146">
        <f>E1433</f>
        <v>9.25</v>
      </c>
    </row>
    <row r="1434" spans="1:13" customFormat="1" ht="12.75">
      <c r="A1434" s="136"/>
      <c r="B1434" s="10" t="s">
        <v>548</v>
      </c>
      <c r="E1434" s="138" t="s">
        <v>121</v>
      </c>
      <c r="G1434" s="138"/>
      <c r="I1434" s="138"/>
      <c r="M1434" s="139"/>
    </row>
    <row r="1435" spans="1:13" customFormat="1" ht="12.75">
      <c r="A1435" s="136"/>
      <c r="B1435" s="137"/>
      <c r="E1435" s="138"/>
      <c r="G1435" s="138"/>
      <c r="I1435" s="138"/>
      <c r="M1435" s="139"/>
    </row>
    <row r="1436" spans="1:13" customFormat="1" ht="12.75">
      <c r="A1436" s="136"/>
      <c r="B1436" s="137" t="s">
        <v>585</v>
      </c>
      <c r="D1436" s="140" t="s">
        <v>50</v>
      </c>
      <c r="E1436" s="141">
        <v>9</v>
      </c>
      <c r="F1436" s="142"/>
      <c r="G1436" s="148"/>
      <c r="H1436" s="142"/>
      <c r="I1436" s="143"/>
      <c r="J1436" s="144"/>
      <c r="K1436" s="144"/>
      <c r="L1436" s="145" t="s">
        <v>50</v>
      </c>
      <c r="M1436" s="146">
        <f>E1436</f>
        <v>9</v>
      </c>
    </row>
    <row r="1437" spans="1:13" customFormat="1" ht="12.75">
      <c r="A1437" s="136"/>
      <c r="B1437" s="10" t="s">
        <v>548</v>
      </c>
      <c r="E1437" s="138" t="s">
        <v>121</v>
      </c>
      <c r="G1437" s="138"/>
      <c r="I1437" s="138"/>
      <c r="M1437" s="139"/>
    </row>
    <row r="1438" spans="1:13" customFormat="1" ht="12.75">
      <c r="A1438" s="136"/>
      <c r="B1438" s="137"/>
      <c r="E1438" s="138"/>
      <c r="G1438" s="138"/>
      <c r="I1438" s="138"/>
      <c r="M1438" s="139"/>
    </row>
    <row r="1439" spans="1:13" customFormat="1" ht="12.75">
      <c r="A1439" s="136"/>
      <c r="B1439" s="137" t="s">
        <v>586</v>
      </c>
      <c r="D1439" s="140" t="s">
        <v>50</v>
      </c>
      <c r="E1439" s="141">
        <v>9.1750000000000007</v>
      </c>
      <c r="F1439" s="142"/>
      <c r="G1439" s="148"/>
      <c r="H1439" s="142"/>
      <c r="I1439" s="143"/>
      <c r="J1439" s="144"/>
      <c r="K1439" s="144"/>
      <c r="L1439" s="145" t="s">
        <v>50</v>
      </c>
      <c r="M1439" s="146">
        <f>E1439</f>
        <v>9.1750000000000007</v>
      </c>
    </row>
    <row r="1440" spans="1:13" customFormat="1" ht="12.75">
      <c r="A1440" s="136"/>
      <c r="B1440" s="10" t="s">
        <v>548</v>
      </c>
      <c r="E1440" s="138" t="s">
        <v>121</v>
      </c>
      <c r="G1440" s="138"/>
      <c r="I1440" s="138"/>
      <c r="M1440" s="139"/>
    </row>
    <row r="1441" spans="1:28" customFormat="1" ht="12.75">
      <c r="A1441" s="136"/>
      <c r="B1441" s="137"/>
      <c r="E1441" s="138"/>
      <c r="G1441" s="138"/>
      <c r="I1441" s="138"/>
      <c r="M1441" s="139"/>
    </row>
    <row r="1442" spans="1:28" customFormat="1" ht="12.75">
      <c r="A1442" s="136"/>
      <c r="B1442" s="137" t="s">
        <v>587</v>
      </c>
      <c r="D1442" s="140" t="s">
        <v>50</v>
      </c>
      <c r="E1442" s="141">
        <v>9.0649999999999995</v>
      </c>
      <c r="F1442" s="142"/>
      <c r="G1442" s="148"/>
      <c r="H1442" s="142"/>
      <c r="I1442" s="143"/>
      <c r="J1442" s="144"/>
      <c r="K1442" s="144"/>
      <c r="L1442" s="145" t="s">
        <v>50</v>
      </c>
      <c r="M1442" s="146">
        <f>E1442</f>
        <v>9.0649999999999995</v>
      </c>
    </row>
    <row r="1443" spans="1:28" customFormat="1" ht="12.75">
      <c r="A1443" s="136"/>
      <c r="B1443" s="10" t="s">
        <v>548</v>
      </c>
      <c r="E1443" s="138" t="s">
        <v>121</v>
      </c>
      <c r="G1443" s="138"/>
      <c r="I1443" s="138"/>
      <c r="M1443" s="139"/>
    </row>
    <row r="1444" spans="1:28" customFormat="1" ht="12.75">
      <c r="A1444" s="136"/>
      <c r="B1444" s="137"/>
      <c r="E1444" s="138"/>
      <c r="G1444" s="138"/>
      <c r="I1444" s="138"/>
      <c r="M1444" s="139"/>
    </row>
    <row r="1445" spans="1:28" customFormat="1" ht="12.75">
      <c r="A1445" s="136"/>
      <c r="B1445" s="137" t="s">
        <v>588</v>
      </c>
      <c r="D1445" s="140" t="s">
        <v>50</v>
      </c>
      <c r="E1445" s="141">
        <v>5.17</v>
      </c>
      <c r="F1445" s="142"/>
      <c r="G1445" s="148"/>
      <c r="H1445" s="142"/>
      <c r="I1445" s="143"/>
      <c r="J1445" s="144"/>
      <c r="K1445" s="144"/>
      <c r="L1445" s="145" t="s">
        <v>50</v>
      </c>
      <c r="M1445" s="146">
        <f>E1445</f>
        <v>5.17</v>
      </c>
    </row>
    <row r="1446" spans="1:28" customFormat="1" ht="12.75">
      <c r="A1446" s="136"/>
      <c r="B1446" s="10" t="s">
        <v>548</v>
      </c>
      <c r="E1446" s="138" t="s">
        <v>121</v>
      </c>
      <c r="G1446" s="138"/>
      <c r="I1446" s="138"/>
      <c r="M1446" s="139"/>
    </row>
    <row r="1447" spans="1:28" customFormat="1" ht="12.75">
      <c r="A1447" s="136"/>
      <c r="B1447" s="137"/>
      <c r="E1447" s="138"/>
      <c r="G1447" s="138"/>
      <c r="I1447" s="138"/>
      <c r="M1447" s="139"/>
    </row>
    <row r="1448" spans="1:28" s="161" customFormat="1" ht="12.75">
      <c r="A1448" s="163"/>
      <c r="B1448" s="161" t="s">
        <v>10</v>
      </c>
      <c r="H1448" s="164"/>
      <c r="I1448" s="165" t="s">
        <v>265</v>
      </c>
      <c r="L1448" s="162" t="s">
        <v>50</v>
      </c>
      <c r="M1448" s="46">
        <f>SUM(M1421:M1445)</f>
        <v>74.641999999999996</v>
      </c>
    </row>
    <row r="1449" spans="1:28" customFormat="1" ht="12.75">
      <c r="A1449" s="147"/>
      <c r="B1449" s="137"/>
      <c r="E1449" s="138"/>
      <c r="G1449" s="138"/>
      <c r="I1449" s="138"/>
      <c r="M1449" s="139"/>
      <c r="Q1449" s="137"/>
      <c r="S1449" s="140"/>
      <c r="T1449" s="148"/>
      <c r="U1449" s="142"/>
      <c r="V1449" s="148"/>
      <c r="Y1449" s="144"/>
      <c r="Z1449" s="144"/>
      <c r="AA1449" s="145"/>
      <c r="AB1449" s="148"/>
    </row>
    <row r="1450" spans="1:28" customFormat="1" ht="35.25" customHeight="1">
      <c r="A1450" s="134" t="str">
        <f>ORÇAMENTO!A216</f>
        <v>14.3</v>
      </c>
      <c r="B1450" s="135"/>
      <c r="C1450" s="383" t="str">
        <f>ORÇAMENTO!D216</f>
        <v>REVESTIMENTO CERÂMICO PARA PISO COM PLACAS TIPO PORCELANATO DE DIMENSÕES 60X60 CM APLICADA EM AMBIENTES DE ÁREA MAIOR QUE 10 M². AF_02/2023_PE</v>
      </c>
      <c r="D1450" s="383"/>
      <c r="E1450" s="383"/>
      <c r="F1450" s="383"/>
      <c r="G1450" s="383"/>
      <c r="H1450" s="383"/>
      <c r="I1450" s="383"/>
      <c r="J1450" s="383"/>
      <c r="K1450" s="383"/>
      <c r="L1450" s="383"/>
      <c r="M1450" s="108" t="str">
        <f>ORÇAMENTO!E216</f>
        <v>M2</v>
      </c>
    </row>
    <row r="1451" spans="1:28" customFormat="1" ht="12.75">
      <c r="A1451" s="136"/>
      <c r="B1451" s="137"/>
      <c r="E1451" s="138"/>
      <c r="G1451" s="138"/>
      <c r="I1451" s="138"/>
      <c r="M1451" s="139"/>
    </row>
    <row r="1452" spans="1:28" customFormat="1" ht="12.75">
      <c r="A1452" s="136"/>
      <c r="B1452" s="152" t="s">
        <v>616</v>
      </c>
      <c r="D1452" s="140" t="s">
        <v>50</v>
      </c>
      <c r="E1452" s="141">
        <v>17.757999999999999</v>
      </c>
      <c r="F1452" s="142"/>
      <c r="G1452" s="148"/>
      <c r="H1452" s="142"/>
      <c r="I1452" s="143"/>
      <c r="J1452" s="144"/>
      <c r="K1452" s="144"/>
      <c r="L1452" s="145" t="s">
        <v>50</v>
      </c>
      <c r="M1452" s="146">
        <f>E1452</f>
        <v>17.757999999999999</v>
      </c>
    </row>
    <row r="1453" spans="1:28" customFormat="1" ht="12.75">
      <c r="A1453" s="136"/>
      <c r="B1453" s="10" t="s">
        <v>903</v>
      </c>
      <c r="E1453" s="138" t="s">
        <v>121</v>
      </c>
      <c r="G1453" s="138"/>
      <c r="I1453" s="138"/>
      <c r="M1453" s="139"/>
    </row>
    <row r="1454" spans="1:28" customFormat="1" ht="12.75">
      <c r="A1454" s="136"/>
      <c r="B1454" s="137"/>
      <c r="E1454" s="138"/>
      <c r="G1454" s="138"/>
      <c r="I1454" s="138"/>
      <c r="M1454" s="139"/>
    </row>
    <row r="1455" spans="1:28" customFormat="1" ht="12.75">
      <c r="A1455" s="136"/>
      <c r="B1455" s="152" t="s">
        <v>591</v>
      </c>
      <c r="D1455" s="140" t="s">
        <v>50</v>
      </c>
      <c r="E1455" s="141">
        <v>29.73</v>
      </c>
      <c r="F1455" s="142"/>
      <c r="G1455" s="148"/>
      <c r="H1455" s="142"/>
      <c r="I1455" s="143"/>
      <c r="J1455" s="144"/>
      <c r="K1455" s="144"/>
      <c r="L1455" s="145" t="s">
        <v>50</v>
      </c>
      <c r="M1455" s="146">
        <f>E1455</f>
        <v>29.73</v>
      </c>
    </row>
    <row r="1456" spans="1:28" customFormat="1" ht="12.75">
      <c r="A1456" s="136"/>
      <c r="B1456" s="10" t="s">
        <v>548</v>
      </c>
      <c r="E1456" s="138" t="s">
        <v>121</v>
      </c>
      <c r="G1456" s="138"/>
      <c r="I1456" s="138"/>
      <c r="M1456" s="139"/>
    </row>
    <row r="1457" spans="1:13" customFormat="1" ht="12.75">
      <c r="A1457" s="136"/>
      <c r="B1457" s="137"/>
      <c r="E1457" s="138"/>
      <c r="G1457" s="138"/>
      <c r="I1457" s="138"/>
      <c r="M1457" s="139"/>
    </row>
    <row r="1458" spans="1:13" customFormat="1" ht="12.75">
      <c r="A1458" s="136"/>
      <c r="B1458" s="152" t="s">
        <v>590</v>
      </c>
      <c r="D1458" s="140" t="s">
        <v>50</v>
      </c>
      <c r="E1458" s="141">
        <v>19.809000000000001</v>
      </c>
      <c r="F1458" s="142"/>
      <c r="G1458" s="148"/>
      <c r="H1458" s="142"/>
      <c r="I1458" s="143"/>
      <c r="J1458" s="144"/>
      <c r="K1458" s="144"/>
      <c r="L1458" s="145" t="s">
        <v>50</v>
      </c>
      <c r="M1458" s="146">
        <f>E1458</f>
        <v>19.809000000000001</v>
      </c>
    </row>
    <row r="1459" spans="1:13" customFormat="1" ht="12.75">
      <c r="A1459" s="136"/>
      <c r="B1459" s="10" t="s">
        <v>548</v>
      </c>
      <c r="E1459" s="138" t="s">
        <v>121</v>
      </c>
      <c r="G1459" s="138"/>
      <c r="I1459" s="138"/>
      <c r="M1459" s="139"/>
    </row>
    <row r="1460" spans="1:13" customFormat="1" ht="12.75">
      <c r="A1460" s="136"/>
      <c r="B1460" s="137"/>
      <c r="E1460" s="138"/>
      <c r="G1460" s="138"/>
      <c r="I1460" s="138"/>
      <c r="M1460" s="139"/>
    </row>
    <row r="1461" spans="1:13" customFormat="1" ht="12.75">
      <c r="A1461" s="136"/>
      <c r="B1461" s="152" t="s">
        <v>589</v>
      </c>
      <c r="D1461" s="140" t="s">
        <v>50</v>
      </c>
      <c r="E1461" s="141">
        <v>35.71</v>
      </c>
      <c r="F1461" s="142"/>
      <c r="G1461" s="148"/>
      <c r="H1461" s="142"/>
      <c r="I1461" s="143"/>
      <c r="J1461" s="144"/>
      <c r="K1461" s="144"/>
      <c r="L1461" s="145" t="s">
        <v>50</v>
      </c>
      <c r="M1461" s="146">
        <f>E1461</f>
        <v>35.71</v>
      </c>
    </row>
    <row r="1462" spans="1:13" customFormat="1" ht="12.75">
      <c r="A1462" s="136"/>
      <c r="B1462" s="10" t="s">
        <v>548</v>
      </c>
      <c r="E1462" s="138" t="s">
        <v>121</v>
      </c>
      <c r="G1462" s="138"/>
      <c r="I1462" s="138"/>
      <c r="M1462" s="139"/>
    </row>
    <row r="1463" spans="1:13" customFormat="1" ht="12.75">
      <c r="A1463" s="136"/>
      <c r="B1463" s="137"/>
      <c r="E1463" s="138"/>
      <c r="G1463" s="138"/>
      <c r="I1463" s="138"/>
      <c r="M1463" s="139"/>
    </row>
    <row r="1464" spans="1:13" customFormat="1" ht="12.75">
      <c r="A1464" s="136"/>
      <c r="B1464" s="137" t="s">
        <v>593</v>
      </c>
      <c r="D1464" s="140" t="s">
        <v>50</v>
      </c>
      <c r="E1464" s="141">
        <v>18.422000000000001</v>
      </c>
      <c r="F1464" s="142"/>
      <c r="G1464" s="148"/>
      <c r="H1464" s="142"/>
      <c r="I1464" s="143"/>
      <c r="J1464" s="144"/>
      <c r="K1464" s="144"/>
      <c r="L1464" s="145" t="s">
        <v>50</v>
      </c>
      <c r="M1464" s="146">
        <f>E1464</f>
        <v>18.422000000000001</v>
      </c>
    </row>
    <row r="1465" spans="1:13" customFormat="1" ht="12.75">
      <c r="A1465" s="136"/>
      <c r="B1465" s="10" t="s">
        <v>548</v>
      </c>
      <c r="E1465" s="138" t="s">
        <v>121</v>
      </c>
      <c r="G1465" s="138"/>
      <c r="I1465" s="138"/>
      <c r="M1465" s="139"/>
    </row>
    <row r="1466" spans="1:13" customFormat="1" ht="12.75">
      <c r="A1466" s="136"/>
      <c r="B1466" s="137"/>
      <c r="E1466" s="138"/>
      <c r="G1466" s="138"/>
      <c r="I1466" s="138"/>
      <c r="M1466" s="139"/>
    </row>
    <row r="1467" spans="1:13" customFormat="1" ht="12.75">
      <c r="A1467" s="136"/>
      <c r="B1467" s="137" t="s">
        <v>594</v>
      </c>
      <c r="D1467" s="140" t="s">
        <v>50</v>
      </c>
      <c r="E1467" s="141">
        <v>19.337</v>
      </c>
      <c r="F1467" s="142"/>
      <c r="G1467" s="148"/>
      <c r="H1467" s="142"/>
      <c r="I1467" s="143"/>
      <c r="J1467" s="144"/>
      <c r="K1467" s="144"/>
      <c r="L1467" s="145" t="s">
        <v>50</v>
      </c>
      <c r="M1467" s="146">
        <f>E1467</f>
        <v>19.337</v>
      </c>
    </row>
    <row r="1468" spans="1:13" customFormat="1" ht="12.75">
      <c r="A1468" s="136"/>
      <c r="B1468" s="10" t="s">
        <v>548</v>
      </c>
      <c r="E1468" s="138" t="s">
        <v>121</v>
      </c>
      <c r="G1468" s="138"/>
      <c r="I1468" s="138"/>
      <c r="M1468" s="139"/>
    </row>
    <row r="1469" spans="1:13" customFormat="1" ht="12.75">
      <c r="A1469" s="136"/>
      <c r="B1469" s="137"/>
      <c r="E1469" s="138"/>
      <c r="G1469" s="138"/>
      <c r="I1469" s="138"/>
      <c r="M1469" s="139"/>
    </row>
    <row r="1470" spans="1:13" customFormat="1" ht="12.75">
      <c r="A1470" s="136"/>
      <c r="B1470" s="137" t="s">
        <v>592</v>
      </c>
      <c r="D1470" s="140" t="s">
        <v>50</v>
      </c>
      <c r="E1470" s="141">
        <v>10.55</v>
      </c>
      <c r="F1470" s="142"/>
      <c r="G1470" s="148"/>
      <c r="H1470" s="142"/>
      <c r="I1470" s="143"/>
      <c r="J1470" s="144"/>
      <c r="K1470" s="144"/>
      <c r="L1470" s="145" t="s">
        <v>50</v>
      </c>
      <c r="M1470" s="146">
        <f>E1470</f>
        <v>10.55</v>
      </c>
    </row>
    <row r="1471" spans="1:13" customFormat="1" ht="12.75">
      <c r="A1471" s="136"/>
      <c r="B1471" s="10" t="s">
        <v>548</v>
      </c>
      <c r="E1471" s="138" t="s">
        <v>121</v>
      </c>
      <c r="G1471" s="138"/>
      <c r="I1471" s="138"/>
      <c r="M1471" s="139"/>
    </row>
    <row r="1472" spans="1:13" customFormat="1" ht="12.75">
      <c r="A1472" s="136"/>
      <c r="B1472" s="137"/>
      <c r="E1472" s="138"/>
      <c r="G1472" s="138"/>
      <c r="I1472" s="138"/>
      <c r="M1472" s="139"/>
    </row>
    <row r="1473" spans="1:13" customFormat="1" ht="12.75">
      <c r="A1473" s="136"/>
      <c r="B1473" s="137" t="s">
        <v>595</v>
      </c>
      <c r="D1473" s="140" t="s">
        <v>50</v>
      </c>
      <c r="E1473" s="141">
        <v>18.696000000000002</v>
      </c>
      <c r="F1473" s="142"/>
      <c r="G1473" s="148"/>
      <c r="H1473" s="142"/>
      <c r="I1473" s="143"/>
      <c r="J1473" s="144"/>
      <c r="K1473" s="144"/>
      <c r="L1473" s="145" t="s">
        <v>50</v>
      </c>
      <c r="M1473" s="146">
        <f>E1473</f>
        <v>18.696000000000002</v>
      </c>
    </row>
    <row r="1474" spans="1:13" customFormat="1" ht="12.75">
      <c r="A1474" s="136"/>
      <c r="B1474" s="10" t="s">
        <v>548</v>
      </c>
      <c r="E1474" s="138" t="s">
        <v>121</v>
      </c>
      <c r="G1474" s="138"/>
      <c r="I1474" s="138"/>
      <c r="M1474" s="139"/>
    </row>
    <row r="1475" spans="1:13" customFormat="1" ht="12.75">
      <c r="A1475" s="136"/>
      <c r="B1475" s="137"/>
      <c r="E1475" s="138"/>
      <c r="G1475" s="138"/>
      <c r="I1475" s="138"/>
      <c r="M1475" s="139"/>
    </row>
    <row r="1476" spans="1:13" customFormat="1" ht="12.75">
      <c r="A1476" s="136"/>
      <c r="B1476" s="137" t="s">
        <v>596</v>
      </c>
      <c r="D1476" s="140" t="s">
        <v>50</v>
      </c>
      <c r="E1476" s="141">
        <v>22.225000000000001</v>
      </c>
      <c r="F1476" s="142"/>
      <c r="G1476" s="148"/>
      <c r="H1476" s="142"/>
      <c r="I1476" s="143"/>
      <c r="J1476" s="144"/>
      <c r="K1476" s="144"/>
      <c r="L1476" s="145" t="s">
        <v>50</v>
      </c>
      <c r="M1476" s="146">
        <f>E1476</f>
        <v>22.225000000000001</v>
      </c>
    </row>
    <row r="1477" spans="1:13" customFormat="1" ht="12.75">
      <c r="A1477" s="136"/>
      <c r="B1477" s="10" t="s">
        <v>548</v>
      </c>
      <c r="E1477" s="138" t="s">
        <v>121</v>
      </c>
      <c r="G1477" s="138"/>
      <c r="I1477" s="138"/>
      <c r="M1477" s="139"/>
    </row>
    <row r="1478" spans="1:13" customFormat="1" ht="12.75">
      <c r="A1478" s="136"/>
      <c r="B1478" s="137"/>
      <c r="E1478" s="138"/>
      <c r="G1478" s="138"/>
      <c r="I1478" s="138"/>
      <c r="M1478" s="139"/>
    </row>
    <row r="1479" spans="1:13" customFormat="1" ht="12.75">
      <c r="A1479" s="136"/>
      <c r="B1479" s="137" t="s">
        <v>597</v>
      </c>
      <c r="D1479" s="140" t="s">
        <v>50</v>
      </c>
      <c r="E1479" s="141">
        <v>36.561999999999998</v>
      </c>
      <c r="F1479" s="142"/>
      <c r="G1479" s="148"/>
      <c r="H1479" s="142"/>
      <c r="I1479" s="143"/>
      <c r="J1479" s="144"/>
      <c r="K1479" s="144"/>
      <c r="L1479" s="145" t="s">
        <v>50</v>
      </c>
      <c r="M1479" s="146">
        <f>E1479</f>
        <v>36.561999999999998</v>
      </c>
    </row>
    <row r="1480" spans="1:13" customFormat="1" ht="12.75">
      <c r="A1480" s="136"/>
      <c r="B1480" s="10" t="s">
        <v>577</v>
      </c>
      <c r="E1480" s="138" t="s">
        <v>121</v>
      </c>
      <c r="G1480" s="138"/>
      <c r="I1480" s="138"/>
      <c r="M1480" s="139"/>
    </row>
    <row r="1481" spans="1:13" customFormat="1" ht="12.75">
      <c r="A1481" s="136"/>
      <c r="B1481" s="137"/>
      <c r="E1481" s="138"/>
      <c r="G1481" s="138"/>
      <c r="I1481" s="138"/>
      <c r="M1481" s="139"/>
    </row>
    <row r="1482" spans="1:13" s="161" customFormat="1" ht="12.75">
      <c r="A1482" s="163"/>
      <c r="B1482" s="161" t="s">
        <v>10</v>
      </c>
      <c r="H1482" s="164"/>
      <c r="I1482" s="165" t="s">
        <v>265</v>
      </c>
      <c r="L1482" s="162" t="s">
        <v>50</v>
      </c>
      <c r="M1482" s="46">
        <f>SUM(M1452:M1479)</f>
        <v>228.79899999999998</v>
      </c>
    </row>
    <row r="1483" spans="1:13" customFormat="1" ht="12.75">
      <c r="A1483" s="136"/>
      <c r="B1483" s="137"/>
      <c r="E1483" s="138"/>
      <c r="G1483" s="138"/>
      <c r="I1483" s="138"/>
      <c r="M1483" s="139"/>
    </row>
    <row r="1484" spans="1:13" s="10" customFormat="1" ht="35.25" customHeight="1">
      <c r="A1484" s="254" t="str">
        <f>ORÇAMENTO!A217</f>
        <v>14.4</v>
      </c>
      <c r="B1484" s="255"/>
      <c r="C1484" s="383" t="str">
        <f>ORÇAMENTO!D217</f>
        <v>REVESTIMENTO COM CERÂMICA APLICADO EM PISO, ACABAMENTO ESMALTADO, AMBIENTE EXTERNO (ANTIDERRAPANTE), PADRÃO EXTRA, DIMENSÃO DA PEÇA ATÉ 2025 CM2, PEI V, ASSENTAMENTO COM ARGAMASSA INDUSTRIALIZADA, INCLUSIVE REJUNTAMENTO</v>
      </c>
      <c r="D1484" s="383"/>
      <c r="E1484" s="383"/>
      <c r="F1484" s="383"/>
      <c r="G1484" s="383"/>
      <c r="H1484" s="383"/>
      <c r="I1484" s="383"/>
      <c r="J1484" s="383"/>
      <c r="K1484" s="383"/>
      <c r="L1484" s="383"/>
      <c r="M1484" s="108" t="str">
        <f>ORÇAMENTO!E217</f>
        <v>M2</v>
      </c>
    </row>
    <row r="1485" spans="1:13" customFormat="1" ht="12.75">
      <c r="A1485" s="136"/>
      <c r="B1485" s="137"/>
      <c r="E1485" s="138"/>
      <c r="G1485" s="138"/>
      <c r="I1485" s="138"/>
      <c r="M1485" s="139"/>
    </row>
    <row r="1486" spans="1:13" customFormat="1" ht="12.75">
      <c r="A1486" s="136"/>
      <c r="B1486" s="137" t="s">
        <v>406</v>
      </c>
      <c r="D1486" s="140" t="s">
        <v>50</v>
      </c>
      <c r="E1486" s="141">
        <v>30.187000000000001</v>
      </c>
      <c r="F1486" s="142"/>
      <c r="G1486" s="148"/>
      <c r="H1486" s="142"/>
      <c r="I1486" s="143"/>
      <c r="J1486" s="144"/>
      <c r="K1486" s="144"/>
      <c r="L1486" s="145" t="s">
        <v>50</v>
      </c>
      <c r="M1486" s="146">
        <f>E1486</f>
        <v>30.187000000000001</v>
      </c>
    </row>
    <row r="1487" spans="1:13" customFormat="1" ht="12.75">
      <c r="A1487" s="136"/>
      <c r="B1487" s="10" t="s">
        <v>616</v>
      </c>
      <c r="E1487" s="138" t="s">
        <v>121</v>
      </c>
      <c r="G1487" s="138"/>
      <c r="I1487" s="138"/>
      <c r="M1487" s="139"/>
    </row>
    <row r="1488" spans="1:13" customFormat="1" ht="12.75">
      <c r="A1488" s="136"/>
      <c r="B1488" s="137"/>
      <c r="E1488" s="138"/>
      <c r="G1488" s="138"/>
      <c r="I1488" s="138"/>
      <c r="M1488" s="139"/>
    </row>
    <row r="1489" spans="1:28" s="161" customFormat="1" ht="12.75">
      <c r="A1489" s="163"/>
      <c r="B1489" s="161" t="s">
        <v>10</v>
      </c>
      <c r="E1489" s="161" t="s">
        <v>149</v>
      </c>
      <c r="H1489" s="164"/>
      <c r="I1489" s="165" t="s">
        <v>265</v>
      </c>
      <c r="L1489" s="162" t="s">
        <v>50</v>
      </c>
      <c r="M1489" s="46">
        <f>SUM(M1486)</f>
        <v>30.187000000000001</v>
      </c>
    </row>
    <row r="1490" spans="1:28" customFormat="1" ht="12.75">
      <c r="A1490" s="136"/>
      <c r="B1490" s="137"/>
      <c r="E1490" s="138"/>
      <c r="G1490" s="138"/>
      <c r="I1490" s="138"/>
      <c r="M1490" s="139"/>
    </row>
    <row r="1491" spans="1:28" customFormat="1" ht="35.25" customHeight="1">
      <c r="A1491" s="134" t="str">
        <f>ORÇAMENTO!A218</f>
        <v>14.5</v>
      </c>
      <c r="B1491" s="135"/>
      <c r="C1491" s="383" t="str">
        <f>ORÇAMENTO!D218</f>
        <v>PASSEIOS DE CONCRETO E = 6 CM, FCK = 10 MPA, JUNTA SECA</v>
      </c>
      <c r="D1491" s="383"/>
      <c r="E1491" s="383"/>
      <c r="F1491" s="383"/>
      <c r="G1491" s="383"/>
      <c r="H1491" s="383"/>
      <c r="I1491" s="383"/>
      <c r="J1491" s="383"/>
      <c r="K1491" s="383"/>
      <c r="L1491" s="383"/>
      <c r="M1491" s="108" t="str">
        <f>ORÇAMENTO!E218</f>
        <v>M2</v>
      </c>
    </row>
    <row r="1492" spans="1:28" customFormat="1" ht="12.75">
      <c r="A1492" s="136"/>
      <c r="B1492" s="137"/>
      <c r="E1492" s="138"/>
      <c r="G1492" s="138"/>
      <c r="I1492" s="138"/>
      <c r="M1492" s="139"/>
    </row>
    <row r="1493" spans="1:28" customFormat="1" ht="12.75">
      <c r="A1493" s="136"/>
      <c r="B1493" s="152" t="s">
        <v>615</v>
      </c>
      <c r="D1493" s="140" t="s">
        <v>50</v>
      </c>
      <c r="E1493" s="141">
        <v>24.36</v>
      </c>
      <c r="F1493" s="142"/>
      <c r="G1493" s="148"/>
      <c r="H1493" s="142"/>
      <c r="I1493" s="143"/>
      <c r="J1493" s="144"/>
      <c r="K1493" s="144"/>
      <c r="L1493" s="145" t="s">
        <v>50</v>
      </c>
      <c r="M1493" s="146">
        <f>E1493</f>
        <v>24.36</v>
      </c>
    </row>
    <row r="1494" spans="1:28" customFormat="1" ht="12.75">
      <c r="A1494" s="136"/>
      <c r="B1494" s="137"/>
      <c r="E1494" s="138" t="s">
        <v>121</v>
      </c>
      <c r="G1494" s="138"/>
      <c r="I1494" s="138"/>
      <c r="M1494" s="139"/>
    </row>
    <row r="1495" spans="1:28" customFormat="1" ht="12.75">
      <c r="A1495" s="136"/>
      <c r="B1495" s="137"/>
      <c r="E1495" s="138"/>
      <c r="G1495" s="138"/>
      <c r="I1495" s="138"/>
      <c r="M1495" s="139"/>
    </row>
    <row r="1496" spans="1:28" s="161" customFormat="1" ht="12.75">
      <c r="A1496" s="163"/>
      <c r="B1496" s="161" t="s">
        <v>10</v>
      </c>
      <c r="E1496" s="161" t="s">
        <v>149</v>
      </c>
      <c r="H1496" s="164"/>
      <c r="I1496" s="165" t="s">
        <v>265</v>
      </c>
      <c r="L1496" s="162" t="s">
        <v>50</v>
      </c>
      <c r="M1496" s="46">
        <f>SUM(M1493)</f>
        <v>24.36</v>
      </c>
    </row>
    <row r="1497" spans="1:28" customFormat="1" ht="12.75">
      <c r="A1497" s="147"/>
      <c r="B1497" s="137"/>
      <c r="E1497" s="138"/>
      <c r="G1497" s="138"/>
      <c r="I1497" s="138"/>
      <c r="M1497" s="139"/>
      <c r="Q1497" s="137"/>
      <c r="S1497" s="140"/>
      <c r="T1497" s="148"/>
      <c r="U1497" s="142"/>
      <c r="V1497" s="148"/>
      <c r="Y1497" s="144"/>
      <c r="Z1497" s="144"/>
      <c r="AA1497" s="145"/>
      <c r="AB1497" s="148"/>
    </row>
    <row r="1498" spans="1:28" customFormat="1" ht="35.25" customHeight="1">
      <c r="A1498" s="134" t="str">
        <f>ORÇAMENTO!A219</f>
        <v>14.6</v>
      </c>
      <c r="B1498" s="135"/>
      <c r="C1498" s="383" t="str">
        <f>ORÇAMENTO!D219</f>
        <v xml:space="preserve">REGULARIZAÇÃO E COMPACTAÇÃO DE TERRENO COM PLACA VIBRATÓRIA </v>
      </c>
      <c r="D1498" s="383"/>
      <c r="E1498" s="383"/>
      <c r="F1498" s="383"/>
      <c r="G1498" s="383"/>
      <c r="H1498" s="383"/>
      <c r="I1498" s="383"/>
      <c r="J1498" s="383"/>
      <c r="K1498" s="383"/>
      <c r="L1498" s="383"/>
      <c r="M1498" s="108" t="str">
        <f>ORÇAMENTO!E219</f>
        <v>M2</v>
      </c>
    </row>
    <row r="1499" spans="1:28" customFormat="1" ht="12.75">
      <c r="A1499" s="136"/>
      <c r="B1499" s="137"/>
      <c r="E1499" s="138"/>
      <c r="G1499" s="138"/>
      <c r="I1499" s="138"/>
      <c r="M1499" s="139"/>
    </row>
    <row r="1500" spans="1:28" customFormat="1" ht="12.75">
      <c r="A1500" s="136"/>
      <c r="B1500" s="152" t="s">
        <v>615</v>
      </c>
      <c r="D1500" s="140" t="s">
        <v>50</v>
      </c>
      <c r="E1500" s="141">
        <v>48.107999999999997</v>
      </c>
      <c r="F1500" s="142"/>
      <c r="G1500" s="148"/>
      <c r="H1500" s="142"/>
      <c r="I1500" s="143"/>
      <c r="J1500" s="144"/>
      <c r="K1500" s="144"/>
      <c r="L1500" s="145" t="s">
        <v>50</v>
      </c>
      <c r="M1500" s="146">
        <f>E1500</f>
        <v>48.107999999999997</v>
      </c>
    </row>
    <row r="1501" spans="1:28" customFormat="1" ht="12.75">
      <c r="A1501" s="136"/>
      <c r="B1501" s="137" t="s">
        <v>567</v>
      </c>
      <c r="E1501" s="138" t="s">
        <v>121</v>
      </c>
      <c r="G1501" s="138"/>
      <c r="I1501" s="138"/>
      <c r="M1501" s="139"/>
    </row>
    <row r="1502" spans="1:28" customFormat="1" ht="12.75">
      <c r="A1502" s="136"/>
      <c r="B1502" s="137"/>
      <c r="E1502" s="138"/>
      <c r="G1502" s="138"/>
      <c r="I1502" s="138"/>
      <c r="M1502" s="139"/>
    </row>
    <row r="1503" spans="1:28" customFormat="1" ht="12.75">
      <c r="A1503" s="136"/>
      <c r="B1503" s="152" t="s">
        <v>615</v>
      </c>
      <c r="D1503" s="140" t="s">
        <v>50</v>
      </c>
      <c r="E1503" s="141">
        <v>24.36</v>
      </c>
      <c r="F1503" s="142"/>
      <c r="G1503" s="148"/>
      <c r="H1503" s="142"/>
      <c r="I1503" s="143"/>
      <c r="J1503" s="144"/>
      <c r="K1503" s="144"/>
      <c r="L1503" s="145" t="s">
        <v>50</v>
      </c>
      <c r="M1503" s="146">
        <f>E1503</f>
        <v>24.36</v>
      </c>
    </row>
    <row r="1504" spans="1:28" customFormat="1" ht="12.75">
      <c r="A1504" s="136"/>
      <c r="B1504" s="137" t="s">
        <v>598</v>
      </c>
      <c r="E1504" s="138" t="s">
        <v>121</v>
      </c>
      <c r="G1504" s="138"/>
      <c r="I1504" s="138"/>
      <c r="M1504" s="139"/>
    </row>
    <row r="1505" spans="1:28" customFormat="1" ht="12.75">
      <c r="A1505" s="136"/>
      <c r="B1505" s="137"/>
      <c r="E1505" s="138"/>
      <c r="G1505" s="138"/>
      <c r="I1505" s="138"/>
      <c r="M1505" s="139"/>
    </row>
    <row r="1506" spans="1:28" customFormat="1" ht="12.75">
      <c r="A1506" s="136"/>
      <c r="B1506" s="152" t="s">
        <v>862</v>
      </c>
      <c r="D1506" s="140" t="s">
        <v>50</v>
      </c>
      <c r="E1506" s="141">
        <v>36.659999999999997</v>
      </c>
      <c r="F1506" s="142"/>
      <c r="G1506" s="148"/>
      <c r="H1506" s="142"/>
      <c r="I1506" s="143"/>
      <c r="J1506" s="144"/>
      <c r="K1506" s="144"/>
      <c r="L1506" s="145" t="s">
        <v>50</v>
      </c>
      <c r="M1506" s="146">
        <f>E1506</f>
        <v>36.659999999999997</v>
      </c>
    </row>
    <row r="1507" spans="1:28" customFormat="1" ht="12.75">
      <c r="A1507" s="136"/>
      <c r="B1507" s="137" t="s">
        <v>567</v>
      </c>
      <c r="E1507" s="138" t="s">
        <v>121</v>
      </c>
      <c r="G1507" s="138"/>
      <c r="I1507" s="138"/>
      <c r="M1507" s="139"/>
    </row>
    <row r="1508" spans="1:28" customFormat="1" ht="12.75">
      <c r="A1508" s="136"/>
      <c r="B1508" s="137"/>
      <c r="E1508" s="138"/>
      <c r="G1508" s="138"/>
      <c r="I1508" s="138"/>
      <c r="M1508" s="139"/>
    </row>
    <row r="1509" spans="1:28" customFormat="1" ht="12.75">
      <c r="A1509" s="136"/>
      <c r="B1509" s="152" t="s">
        <v>863</v>
      </c>
      <c r="D1509" s="140" t="s">
        <v>50</v>
      </c>
      <c r="E1509" s="141">
        <v>16.030999999999999</v>
      </c>
      <c r="F1509" s="142"/>
      <c r="G1509" s="148"/>
      <c r="H1509" s="142"/>
      <c r="I1509" s="143"/>
      <c r="J1509" s="144"/>
      <c r="K1509" s="144"/>
      <c r="L1509" s="145" t="s">
        <v>50</v>
      </c>
      <c r="M1509" s="146">
        <f>E1509</f>
        <v>16.030999999999999</v>
      </c>
    </row>
    <row r="1510" spans="1:28" customFormat="1" ht="12.75">
      <c r="A1510" s="136"/>
      <c r="B1510" s="137" t="s">
        <v>567</v>
      </c>
      <c r="E1510" s="138" t="s">
        <v>121</v>
      </c>
      <c r="G1510" s="138"/>
      <c r="I1510" s="138"/>
      <c r="M1510" s="139"/>
    </row>
    <row r="1511" spans="1:28" customFormat="1" ht="12.75">
      <c r="A1511" s="136"/>
      <c r="B1511" s="137"/>
      <c r="E1511" s="138"/>
      <c r="G1511" s="138"/>
      <c r="I1511" s="138"/>
      <c r="M1511" s="139"/>
    </row>
    <row r="1512" spans="1:28" customFormat="1" ht="12.75">
      <c r="A1512" s="136"/>
      <c r="B1512" s="152" t="s">
        <v>589</v>
      </c>
      <c r="D1512" s="140" t="s">
        <v>50</v>
      </c>
      <c r="E1512" s="141">
        <v>23.102</v>
      </c>
      <c r="F1512" s="142"/>
      <c r="G1512" s="148"/>
      <c r="H1512" s="142"/>
      <c r="I1512" s="143"/>
      <c r="J1512" s="144"/>
      <c r="K1512" s="144"/>
      <c r="L1512" s="145" t="s">
        <v>50</v>
      </c>
      <c r="M1512" s="146">
        <f>E1512</f>
        <v>23.102</v>
      </c>
    </row>
    <row r="1513" spans="1:28" customFormat="1" ht="12.75">
      <c r="A1513" s="136"/>
      <c r="B1513" s="137" t="s">
        <v>567</v>
      </c>
      <c r="E1513" s="138" t="s">
        <v>121</v>
      </c>
      <c r="G1513" s="138"/>
      <c r="I1513" s="138"/>
      <c r="M1513" s="139"/>
    </row>
    <row r="1514" spans="1:28" customFormat="1" ht="12.75">
      <c r="A1514" s="136"/>
      <c r="B1514" s="137"/>
      <c r="E1514" s="138"/>
      <c r="G1514" s="138"/>
      <c r="I1514" s="138"/>
      <c r="M1514" s="139"/>
    </row>
    <row r="1515" spans="1:28" s="161" customFormat="1" ht="12.75">
      <c r="A1515" s="163"/>
      <c r="B1515" s="161" t="s">
        <v>10</v>
      </c>
      <c r="E1515" s="161" t="s">
        <v>149</v>
      </c>
      <c r="H1515" s="164"/>
      <c r="I1515" s="165" t="s">
        <v>265</v>
      </c>
      <c r="L1515" s="162" t="s">
        <v>50</v>
      </c>
      <c r="M1515" s="46">
        <f>SUM(M1500:M1512)</f>
        <v>148.261</v>
      </c>
    </row>
    <row r="1516" spans="1:28" customFormat="1" ht="12.75">
      <c r="A1516" s="147"/>
      <c r="B1516" s="137"/>
      <c r="E1516" s="138"/>
      <c r="G1516" s="138"/>
      <c r="I1516" s="138"/>
      <c r="M1516" s="139"/>
      <c r="Q1516" s="137"/>
      <c r="S1516" s="140"/>
      <c r="T1516" s="148"/>
      <c r="U1516" s="142"/>
      <c r="V1516" s="148"/>
      <c r="Y1516" s="144"/>
      <c r="Z1516" s="144"/>
      <c r="AA1516" s="145"/>
      <c r="AB1516" s="148"/>
    </row>
    <row r="1517" spans="1:28" customFormat="1" ht="35.25" customHeight="1">
      <c r="A1517" s="134" t="str">
        <f>ORÇAMENTO!A220</f>
        <v>14.7</v>
      </c>
      <c r="B1517" s="135"/>
      <c r="C1517" s="383" t="str">
        <f>ORÇAMENTO!D220</f>
        <v xml:space="preserve">CONTRAPISO DESEMPENADO COM ARGAMASSA, TRAÇO 1:3 (CIMENTO E AREIA), ESP. 50MM </v>
      </c>
      <c r="D1517" s="383"/>
      <c r="E1517" s="383"/>
      <c r="F1517" s="383"/>
      <c r="G1517" s="383"/>
      <c r="H1517" s="383"/>
      <c r="I1517" s="383"/>
      <c r="J1517" s="383"/>
      <c r="K1517" s="383"/>
      <c r="L1517" s="383"/>
      <c r="M1517" s="108" t="str">
        <f>ORÇAMENTO!E220</f>
        <v>M2</v>
      </c>
    </row>
    <row r="1518" spans="1:28" customFormat="1" ht="12.75">
      <c r="A1518" s="136"/>
      <c r="B1518" s="137"/>
      <c r="E1518" s="138"/>
      <c r="G1518" s="138"/>
      <c r="I1518" s="138"/>
      <c r="M1518" s="139"/>
    </row>
    <row r="1519" spans="1:28" customFormat="1" ht="12.75">
      <c r="A1519" s="136"/>
      <c r="B1519" s="10" t="s">
        <v>640</v>
      </c>
      <c r="D1519" s="140" t="s">
        <v>50</v>
      </c>
      <c r="E1519" s="141">
        <v>9.0069999999999997</v>
      </c>
      <c r="F1519" s="142"/>
      <c r="G1519" s="148"/>
      <c r="H1519" s="142"/>
      <c r="I1519" s="143"/>
      <c r="J1519" s="144"/>
      <c r="K1519" s="144"/>
      <c r="L1519" s="145" t="s">
        <v>50</v>
      </c>
      <c r="M1519" s="146">
        <f>E1519</f>
        <v>9.0069999999999997</v>
      </c>
    </row>
    <row r="1520" spans="1:28" customFormat="1" ht="12.75">
      <c r="A1520" s="136"/>
      <c r="B1520" s="10" t="s">
        <v>645</v>
      </c>
      <c r="E1520" s="138" t="s">
        <v>121</v>
      </c>
      <c r="G1520" s="138"/>
      <c r="I1520" s="138"/>
      <c r="M1520" s="139"/>
    </row>
    <row r="1521" spans="1:13" customFormat="1" ht="12.75">
      <c r="A1521" s="136"/>
      <c r="B1521" s="137"/>
      <c r="E1521" s="138"/>
      <c r="G1521" s="138"/>
      <c r="I1521" s="138"/>
      <c r="M1521" s="139"/>
    </row>
    <row r="1522" spans="1:13" customFormat="1" ht="12.75">
      <c r="A1522" s="136"/>
      <c r="B1522" s="10" t="s">
        <v>645</v>
      </c>
      <c r="D1522" s="140" t="s">
        <v>50</v>
      </c>
      <c r="E1522" s="141">
        <v>17.757999999999999</v>
      </c>
      <c r="F1522" s="142"/>
      <c r="G1522" s="148"/>
      <c r="H1522" s="142"/>
      <c r="I1522" s="143"/>
      <c r="J1522" s="144"/>
      <c r="K1522" s="144"/>
      <c r="L1522" s="145" t="s">
        <v>50</v>
      </c>
      <c r="M1522" s="146">
        <f>E1522</f>
        <v>17.757999999999999</v>
      </c>
    </row>
    <row r="1523" spans="1:13" customFormat="1" ht="12.75">
      <c r="A1523" s="136"/>
      <c r="B1523" s="10" t="s">
        <v>645</v>
      </c>
      <c r="E1523" s="138" t="s">
        <v>121</v>
      </c>
      <c r="G1523" s="138"/>
      <c r="I1523" s="138"/>
      <c r="M1523" s="139"/>
    </row>
    <row r="1524" spans="1:13" customFormat="1" ht="12.75">
      <c r="A1524" s="136"/>
      <c r="B1524" s="137"/>
      <c r="E1524" s="138"/>
      <c r="G1524" s="138"/>
      <c r="I1524" s="138"/>
      <c r="M1524" s="139"/>
    </row>
    <row r="1525" spans="1:13" customFormat="1" ht="12.75">
      <c r="A1525" s="136"/>
      <c r="B1525" s="10" t="s">
        <v>571</v>
      </c>
      <c r="D1525" s="140" t="s">
        <v>50</v>
      </c>
      <c r="E1525" s="141">
        <v>2.9670000000000001</v>
      </c>
      <c r="F1525" s="142"/>
      <c r="G1525" s="148"/>
      <c r="H1525" s="142"/>
      <c r="I1525" s="143"/>
      <c r="J1525" s="144"/>
      <c r="K1525" s="144"/>
      <c r="L1525" s="145" t="s">
        <v>50</v>
      </c>
      <c r="M1525" s="146">
        <f>E1525</f>
        <v>2.9670000000000001</v>
      </c>
    </row>
    <row r="1526" spans="1:13" customFormat="1" ht="12.75">
      <c r="A1526" s="136"/>
      <c r="B1526" s="10" t="s">
        <v>640</v>
      </c>
      <c r="E1526" s="138" t="s">
        <v>121</v>
      </c>
      <c r="G1526" s="138"/>
      <c r="I1526" s="138"/>
      <c r="M1526" s="139"/>
    </row>
    <row r="1527" spans="1:13" customFormat="1" ht="12.75">
      <c r="A1527" s="136"/>
      <c r="B1527" s="137"/>
      <c r="E1527" s="138"/>
      <c r="G1527" s="138"/>
      <c r="I1527" s="138"/>
      <c r="M1527" s="139"/>
    </row>
    <row r="1528" spans="1:13" customFormat="1" ht="12.75">
      <c r="A1528" s="136"/>
      <c r="B1528" s="10" t="s">
        <v>572</v>
      </c>
      <c r="D1528" s="140" t="s">
        <v>50</v>
      </c>
      <c r="E1528" s="141">
        <v>4.8600000000000003</v>
      </c>
      <c r="F1528" s="142"/>
      <c r="G1528" s="148"/>
      <c r="H1528" s="142"/>
      <c r="I1528" s="143"/>
      <c r="J1528" s="144"/>
      <c r="K1528" s="144"/>
      <c r="L1528" s="145" t="s">
        <v>50</v>
      </c>
      <c r="M1528" s="146">
        <f>E1528</f>
        <v>4.8600000000000003</v>
      </c>
    </row>
    <row r="1529" spans="1:13" customFormat="1" ht="12.75">
      <c r="A1529" s="136"/>
      <c r="B1529" s="10" t="s">
        <v>640</v>
      </c>
      <c r="E1529" s="138" t="s">
        <v>121</v>
      </c>
      <c r="G1529" s="138"/>
      <c r="I1529" s="138"/>
      <c r="M1529" s="139"/>
    </row>
    <row r="1530" spans="1:13" customFormat="1" ht="12.75">
      <c r="A1530" s="136"/>
      <c r="B1530" s="137"/>
      <c r="E1530" s="138"/>
      <c r="G1530" s="138"/>
      <c r="I1530" s="138"/>
      <c r="M1530" s="139"/>
    </row>
    <row r="1531" spans="1:13" customFormat="1" ht="12.75">
      <c r="A1531" s="136"/>
      <c r="B1531" s="10" t="s">
        <v>860</v>
      </c>
      <c r="D1531" s="140" t="s">
        <v>50</v>
      </c>
      <c r="E1531" s="141">
        <v>3.76</v>
      </c>
      <c r="F1531" s="142"/>
      <c r="G1531" s="148"/>
      <c r="H1531" s="142"/>
      <c r="I1531" s="143"/>
      <c r="J1531" s="144"/>
      <c r="K1531" s="144"/>
      <c r="L1531" s="145" t="s">
        <v>50</v>
      </c>
      <c r="M1531" s="146">
        <f>E1531</f>
        <v>3.76</v>
      </c>
    </row>
    <row r="1532" spans="1:13" customFormat="1" ht="12.75">
      <c r="A1532" s="136"/>
      <c r="B1532" s="10" t="s">
        <v>640</v>
      </c>
      <c r="E1532" s="138" t="s">
        <v>121</v>
      </c>
      <c r="G1532" s="138"/>
      <c r="I1532" s="138"/>
      <c r="M1532" s="139"/>
    </row>
    <row r="1533" spans="1:13" customFormat="1" ht="12.75">
      <c r="A1533" s="136"/>
      <c r="B1533" s="137"/>
      <c r="E1533" s="138"/>
      <c r="G1533" s="138"/>
      <c r="I1533" s="138"/>
      <c r="M1533" s="139"/>
    </row>
    <row r="1534" spans="1:13" customFormat="1" ht="12.75">
      <c r="A1534" s="136"/>
      <c r="B1534" s="10" t="s">
        <v>573</v>
      </c>
      <c r="D1534" s="140" t="s">
        <v>50</v>
      </c>
      <c r="E1534" s="141">
        <v>3.12</v>
      </c>
      <c r="F1534" s="142"/>
      <c r="G1534" s="148"/>
      <c r="H1534" s="142"/>
      <c r="I1534" s="143"/>
      <c r="J1534" s="144"/>
      <c r="K1534" s="144"/>
      <c r="L1534" s="145" t="s">
        <v>50</v>
      </c>
      <c r="M1534" s="146">
        <f>E1534</f>
        <v>3.12</v>
      </c>
    </row>
    <row r="1535" spans="1:13" customFormat="1" ht="12.75">
      <c r="A1535" s="136"/>
      <c r="B1535" s="10" t="s">
        <v>548</v>
      </c>
      <c r="E1535" s="138" t="s">
        <v>121</v>
      </c>
      <c r="G1535" s="138"/>
      <c r="I1535" s="138"/>
      <c r="M1535" s="139"/>
    </row>
    <row r="1536" spans="1:13" customFormat="1" ht="12.75">
      <c r="A1536" s="136"/>
      <c r="B1536" s="137"/>
      <c r="E1536" s="138"/>
      <c r="G1536" s="138"/>
      <c r="I1536" s="138"/>
      <c r="M1536" s="139"/>
    </row>
    <row r="1537" spans="1:13" customFormat="1" ht="12.75">
      <c r="A1537" s="136"/>
      <c r="B1537" s="10" t="s">
        <v>574</v>
      </c>
      <c r="D1537" s="140" t="s">
        <v>50</v>
      </c>
      <c r="E1537" s="141">
        <v>3.4319999999999999</v>
      </c>
      <c r="F1537" s="142"/>
      <c r="G1537" s="148"/>
      <c r="H1537" s="142"/>
      <c r="I1537" s="143"/>
      <c r="J1537" s="144"/>
      <c r="K1537" s="144"/>
      <c r="L1537" s="145" t="s">
        <v>50</v>
      </c>
      <c r="M1537" s="146">
        <f>E1537</f>
        <v>3.4319999999999999</v>
      </c>
    </row>
    <row r="1538" spans="1:13" customFormat="1" ht="12.75">
      <c r="A1538" s="136"/>
      <c r="B1538" s="10" t="s">
        <v>548</v>
      </c>
      <c r="E1538" s="138" t="s">
        <v>121</v>
      </c>
      <c r="G1538" s="138"/>
      <c r="I1538" s="138"/>
      <c r="M1538" s="139"/>
    </row>
    <row r="1539" spans="1:13" customFormat="1" ht="12.75">
      <c r="A1539" s="136"/>
      <c r="B1539" s="137"/>
      <c r="E1539" s="138"/>
      <c r="G1539" s="138"/>
      <c r="I1539" s="138"/>
      <c r="M1539" s="139"/>
    </row>
    <row r="1540" spans="1:13" customFormat="1" ht="12.75">
      <c r="A1540" s="136"/>
      <c r="B1540" s="10" t="s">
        <v>575</v>
      </c>
      <c r="D1540" s="140" t="s">
        <v>50</v>
      </c>
      <c r="E1540" s="141">
        <v>1.9</v>
      </c>
      <c r="F1540" s="142"/>
      <c r="G1540" s="148"/>
      <c r="H1540" s="142"/>
      <c r="I1540" s="143"/>
      <c r="J1540" s="144"/>
      <c r="K1540" s="144"/>
      <c r="L1540" s="145" t="s">
        <v>50</v>
      </c>
      <c r="M1540" s="146">
        <f>E1540</f>
        <v>1.9</v>
      </c>
    </row>
    <row r="1541" spans="1:13" customFormat="1" ht="12.75">
      <c r="A1541" s="136"/>
      <c r="B1541" s="10" t="s">
        <v>548</v>
      </c>
      <c r="E1541" s="138" t="s">
        <v>121</v>
      </c>
      <c r="G1541" s="138"/>
      <c r="I1541" s="138"/>
      <c r="M1541" s="139"/>
    </row>
    <row r="1542" spans="1:13" customFormat="1" ht="12.75">
      <c r="A1542" s="136"/>
      <c r="B1542" s="137"/>
      <c r="E1542" s="138"/>
      <c r="G1542" s="138"/>
      <c r="I1542" s="138"/>
      <c r="M1542" s="139"/>
    </row>
    <row r="1543" spans="1:13" customFormat="1" ht="12.75">
      <c r="A1543" s="136"/>
      <c r="B1543" s="10" t="s">
        <v>861</v>
      </c>
      <c r="D1543" s="140" t="s">
        <v>50</v>
      </c>
      <c r="E1543" s="141">
        <v>3.1219999999999999</v>
      </c>
      <c r="F1543" s="142"/>
      <c r="G1543" s="148"/>
      <c r="H1543" s="142"/>
      <c r="I1543" s="143"/>
      <c r="J1543" s="144"/>
      <c r="K1543" s="144"/>
      <c r="L1543" s="145" t="s">
        <v>50</v>
      </c>
      <c r="M1543" s="146">
        <f>E1543</f>
        <v>3.1219999999999999</v>
      </c>
    </row>
    <row r="1544" spans="1:13" customFormat="1" ht="12.75">
      <c r="A1544" s="136"/>
      <c r="B1544" s="10" t="s">
        <v>548</v>
      </c>
      <c r="E1544" s="138" t="s">
        <v>121</v>
      </c>
      <c r="G1544" s="138"/>
      <c r="I1544" s="138"/>
      <c r="M1544" s="139"/>
    </row>
    <row r="1545" spans="1:13" customFormat="1" ht="12.75">
      <c r="A1545" s="136"/>
      <c r="B1545" s="137"/>
      <c r="E1545" s="138"/>
      <c r="G1545" s="138"/>
      <c r="I1545" s="138"/>
      <c r="M1545" s="139"/>
    </row>
    <row r="1546" spans="1:13" customFormat="1" ht="12.75">
      <c r="A1546" s="136"/>
      <c r="B1546" s="10" t="s">
        <v>577</v>
      </c>
      <c r="D1546" s="140" t="s">
        <v>50</v>
      </c>
      <c r="E1546" s="141">
        <v>3.7519999999999998</v>
      </c>
      <c r="F1546" s="142"/>
      <c r="G1546" s="148"/>
      <c r="H1546" s="142"/>
      <c r="I1546" s="143"/>
      <c r="J1546" s="144"/>
      <c r="K1546" s="144"/>
      <c r="L1546" s="145" t="s">
        <v>50</v>
      </c>
      <c r="M1546" s="146">
        <f>E1546</f>
        <v>3.7519999999999998</v>
      </c>
    </row>
    <row r="1547" spans="1:13" customFormat="1" ht="12.75">
      <c r="A1547" s="136"/>
      <c r="B1547" s="10" t="s">
        <v>548</v>
      </c>
      <c r="E1547" s="138" t="s">
        <v>121</v>
      </c>
      <c r="G1547" s="138"/>
      <c r="I1547" s="138"/>
      <c r="M1547" s="139"/>
    </row>
    <row r="1548" spans="1:13" customFormat="1" ht="12.75">
      <c r="A1548" s="136"/>
      <c r="B1548" s="137"/>
      <c r="E1548" s="138"/>
      <c r="G1548" s="138"/>
      <c r="I1548" s="138"/>
      <c r="M1548" s="139"/>
    </row>
    <row r="1549" spans="1:13" customFormat="1" ht="12.75">
      <c r="A1549" s="136"/>
      <c r="B1549" s="10" t="s">
        <v>576</v>
      </c>
      <c r="D1549" s="140" t="s">
        <v>50</v>
      </c>
      <c r="E1549" s="141">
        <v>3.7519999999999998</v>
      </c>
      <c r="F1549" s="142"/>
      <c r="G1549" s="148"/>
      <c r="H1549" s="142"/>
      <c r="I1549" s="143"/>
      <c r="J1549" s="144"/>
      <c r="K1549" s="144"/>
      <c r="L1549" s="145" t="s">
        <v>50</v>
      </c>
      <c r="M1549" s="146">
        <f>E1549</f>
        <v>3.7519999999999998</v>
      </c>
    </row>
    <row r="1550" spans="1:13" customFormat="1" ht="12.75">
      <c r="A1550" s="136"/>
      <c r="B1550" s="10" t="s">
        <v>548</v>
      </c>
      <c r="E1550" s="138" t="s">
        <v>121</v>
      </c>
      <c r="G1550" s="138"/>
      <c r="I1550" s="138"/>
      <c r="M1550" s="139"/>
    </row>
    <row r="1551" spans="1:13" customFormat="1" ht="12.75">
      <c r="A1551" s="136"/>
      <c r="B1551" s="137"/>
      <c r="E1551" s="138"/>
      <c r="G1551" s="138"/>
      <c r="I1551" s="138"/>
      <c r="M1551" s="139"/>
    </row>
    <row r="1552" spans="1:13" customFormat="1" ht="12.75">
      <c r="A1552" s="136"/>
      <c r="B1552" s="10" t="s">
        <v>578</v>
      </c>
      <c r="D1552" s="140" t="s">
        <v>50</v>
      </c>
      <c r="E1552" s="141">
        <v>2.492</v>
      </c>
      <c r="F1552" s="142"/>
      <c r="G1552" s="148"/>
      <c r="H1552" s="142"/>
      <c r="I1552" s="143"/>
      <c r="J1552" s="144"/>
      <c r="K1552" s="144"/>
      <c r="L1552" s="145" t="s">
        <v>50</v>
      </c>
      <c r="M1552" s="146">
        <f>E1552</f>
        <v>2.492</v>
      </c>
    </row>
    <row r="1553" spans="1:13" customFormat="1" ht="12.75">
      <c r="A1553" s="136"/>
      <c r="B1553" s="10" t="s">
        <v>548</v>
      </c>
      <c r="E1553" s="138" t="s">
        <v>121</v>
      </c>
      <c r="G1553" s="138"/>
      <c r="I1553" s="138"/>
      <c r="M1553" s="139"/>
    </row>
    <row r="1554" spans="1:13" customFormat="1" ht="12.75">
      <c r="A1554" s="136"/>
      <c r="B1554" s="137"/>
      <c r="E1554" s="138"/>
      <c r="G1554" s="138"/>
      <c r="I1554" s="138"/>
      <c r="M1554" s="139"/>
    </row>
    <row r="1555" spans="1:13" customFormat="1" ht="12.75">
      <c r="A1555" s="136"/>
      <c r="B1555" s="10" t="s">
        <v>579</v>
      </c>
      <c r="D1555" s="140" t="s">
        <v>50</v>
      </c>
      <c r="E1555" s="141">
        <v>2.5449999999999999</v>
      </c>
      <c r="F1555" s="142"/>
      <c r="G1555" s="148"/>
      <c r="H1555" s="142"/>
      <c r="I1555" s="143"/>
      <c r="J1555" s="144"/>
      <c r="K1555" s="144"/>
      <c r="L1555" s="145" t="s">
        <v>50</v>
      </c>
      <c r="M1555" s="146">
        <f>E1555</f>
        <v>2.5449999999999999</v>
      </c>
    </row>
    <row r="1556" spans="1:13" customFormat="1" ht="12.75">
      <c r="A1556" s="136"/>
      <c r="B1556" s="10" t="s">
        <v>548</v>
      </c>
      <c r="E1556" s="138" t="s">
        <v>121</v>
      </c>
      <c r="G1556" s="138"/>
      <c r="I1556" s="138"/>
      <c r="M1556" s="139"/>
    </row>
    <row r="1557" spans="1:13" customFormat="1" ht="12.75">
      <c r="A1557" s="136"/>
      <c r="B1557" s="137"/>
      <c r="E1557" s="138"/>
      <c r="G1557" s="138"/>
      <c r="I1557" s="138"/>
      <c r="M1557" s="139"/>
    </row>
    <row r="1558" spans="1:13" customFormat="1" ht="12.75">
      <c r="A1558" s="136"/>
      <c r="B1558" s="10" t="s">
        <v>580</v>
      </c>
      <c r="D1558" s="140" t="s">
        <v>50</v>
      </c>
      <c r="E1558" s="141">
        <v>4.8</v>
      </c>
      <c r="F1558" s="142"/>
      <c r="G1558" s="148"/>
      <c r="H1558" s="142"/>
      <c r="I1558" s="143"/>
      <c r="J1558" s="144"/>
      <c r="K1558" s="144"/>
      <c r="L1558" s="145" t="s">
        <v>50</v>
      </c>
      <c r="M1558" s="146">
        <f>E1558</f>
        <v>4.8</v>
      </c>
    </row>
    <row r="1559" spans="1:13" customFormat="1" ht="12.75">
      <c r="A1559" s="136"/>
      <c r="B1559" s="10" t="s">
        <v>577</v>
      </c>
      <c r="E1559" s="138" t="s">
        <v>121</v>
      </c>
      <c r="G1559" s="138"/>
      <c r="I1559" s="138"/>
      <c r="M1559" s="139"/>
    </row>
    <row r="1560" spans="1:13" customFormat="1" ht="12.75">
      <c r="A1560" s="136"/>
      <c r="B1560" s="137"/>
      <c r="E1560" s="138"/>
      <c r="G1560" s="138"/>
      <c r="I1560" s="138"/>
      <c r="M1560" s="139"/>
    </row>
    <row r="1561" spans="1:13" customFormat="1" ht="12.75">
      <c r="A1561" s="136"/>
      <c r="B1561" s="152" t="s">
        <v>581</v>
      </c>
      <c r="D1561" s="140" t="s">
        <v>50</v>
      </c>
      <c r="E1561" s="141">
        <v>7.53</v>
      </c>
      <c r="F1561" s="142"/>
      <c r="G1561" s="148"/>
      <c r="H1561" s="142"/>
      <c r="I1561" s="143"/>
      <c r="J1561" s="144"/>
      <c r="K1561" s="144"/>
      <c r="L1561" s="145" t="s">
        <v>50</v>
      </c>
      <c r="M1561" s="146">
        <f>E1561</f>
        <v>7.53</v>
      </c>
    </row>
    <row r="1562" spans="1:13" customFormat="1" ht="12.75">
      <c r="A1562" s="136"/>
      <c r="B1562" s="10" t="s">
        <v>616</v>
      </c>
      <c r="E1562" s="138" t="s">
        <v>121</v>
      </c>
      <c r="G1562" s="138"/>
      <c r="I1562" s="138"/>
      <c r="M1562" s="139"/>
    </row>
    <row r="1563" spans="1:13" customFormat="1" ht="12.75">
      <c r="A1563" s="136"/>
      <c r="B1563" s="137"/>
      <c r="E1563" s="138"/>
      <c r="G1563" s="138"/>
      <c r="I1563" s="138"/>
      <c r="M1563" s="139"/>
    </row>
    <row r="1564" spans="1:13" customFormat="1" ht="12.75">
      <c r="A1564" s="136"/>
      <c r="B1564" s="152" t="s">
        <v>582</v>
      </c>
      <c r="D1564" s="140" t="s">
        <v>50</v>
      </c>
      <c r="E1564" s="141">
        <v>8.3019999999999996</v>
      </c>
      <c r="F1564" s="142"/>
      <c r="G1564" s="148"/>
      <c r="H1564" s="142"/>
      <c r="I1564" s="143"/>
      <c r="J1564" s="144"/>
      <c r="K1564" s="144"/>
      <c r="L1564" s="145" t="s">
        <v>50</v>
      </c>
      <c r="M1564" s="146">
        <f>E1564</f>
        <v>8.3019999999999996</v>
      </c>
    </row>
    <row r="1565" spans="1:13" customFormat="1" ht="12.75">
      <c r="A1565" s="136"/>
      <c r="B1565" s="10" t="s">
        <v>548</v>
      </c>
      <c r="E1565" s="138" t="s">
        <v>121</v>
      </c>
      <c r="G1565" s="138"/>
      <c r="I1565" s="138"/>
      <c r="M1565" s="139"/>
    </row>
    <row r="1566" spans="1:13" customFormat="1" ht="12.75">
      <c r="A1566" s="136"/>
      <c r="B1566" s="137"/>
      <c r="E1566" s="138"/>
      <c r="G1566" s="138"/>
      <c r="I1566" s="138"/>
      <c r="M1566" s="139"/>
    </row>
    <row r="1567" spans="1:13" customFormat="1" ht="12.75">
      <c r="A1567" s="136"/>
      <c r="B1567" s="137" t="s">
        <v>583</v>
      </c>
      <c r="D1567" s="140" t="s">
        <v>50</v>
      </c>
      <c r="E1567" s="141">
        <v>8.1430000000000007</v>
      </c>
      <c r="F1567" s="142"/>
      <c r="G1567" s="148"/>
      <c r="H1567" s="142"/>
      <c r="I1567" s="143"/>
      <c r="J1567" s="144"/>
      <c r="K1567" s="144"/>
      <c r="L1567" s="145" t="s">
        <v>50</v>
      </c>
      <c r="M1567" s="146">
        <f>E1567</f>
        <v>8.1430000000000007</v>
      </c>
    </row>
    <row r="1568" spans="1:13" customFormat="1" ht="12.75">
      <c r="A1568" s="136"/>
      <c r="B1568" s="10" t="s">
        <v>548</v>
      </c>
      <c r="E1568" s="138" t="s">
        <v>121</v>
      </c>
      <c r="G1568" s="138"/>
      <c r="I1568" s="138"/>
      <c r="M1568" s="139"/>
    </row>
    <row r="1569" spans="1:13" customFormat="1" ht="12.75">
      <c r="A1569" s="136"/>
      <c r="B1569" s="137"/>
      <c r="E1569" s="138"/>
      <c r="G1569" s="138"/>
      <c r="I1569" s="138"/>
      <c r="M1569" s="139"/>
    </row>
    <row r="1570" spans="1:13" customFormat="1" ht="12.75">
      <c r="A1570" s="136"/>
      <c r="B1570" s="137" t="s">
        <v>584</v>
      </c>
      <c r="D1570" s="140" t="s">
        <v>50</v>
      </c>
      <c r="E1570" s="141">
        <v>9.25</v>
      </c>
      <c r="F1570" s="142"/>
      <c r="G1570" s="148"/>
      <c r="H1570" s="142"/>
      <c r="I1570" s="143"/>
      <c r="J1570" s="144"/>
      <c r="K1570" s="144"/>
      <c r="L1570" s="145" t="s">
        <v>50</v>
      </c>
      <c r="M1570" s="146">
        <f>E1570</f>
        <v>9.25</v>
      </c>
    </row>
    <row r="1571" spans="1:13" customFormat="1" ht="12.75">
      <c r="A1571" s="136"/>
      <c r="B1571" s="10" t="s">
        <v>548</v>
      </c>
      <c r="E1571" s="138" t="s">
        <v>121</v>
      </c>
      <c r="G1571" s="138"/>
      <c r="I1571" s="138"/>
      <c r="M1571" s="139"/>
    </row>
    <row r="1572" spans="1:13" customFormat="1" ht="12.75">
      <c r="A1572" s="136"/>
      <c r="B1572" s="137"/>
      <c r="E1572" s="138"/>
      <c r="G1572" s="138"/>
      <c r="I1572" s="138"/>
      <c r="M1572" s="139"/>
    </row>
    <row r="1573" spans="1:13" customFormat="1" ht="12.75">
      <c r="A1573" s="136"/>
      <c r="B1573" s="137" t="s">
        <v>585</v>
      </c>
      <c r="D1573" s="140" t="s">
        <v>50</v>
      </c>
      <c r="E1573" s="141">
        <v>9</v>
      </c>
      <c r="F1573" s="142"/>
      <c r="G1573" s="148"/>
      <c r="H1573" s="142"/>
      <c r="I1573" s="143"/>
      <c r="J1573" s="144"/>
      <c r="K1573" s="144"/>
      <c r="L1573" s="145" t="s">
        <v>50</v>
      </c>
      <c r="M1573" s="146">
        <f>E1573</f>
        <v>9</v>
      </c>
    </row>
    <row r="1574" spans="1:13" customFormat="1" ht="12.75">
      <c r="A1574" s="136"/>
      <c r="B1574" s="10" t="s">
        <v>548</v>
      </c>
      <c r="E1574" s="138" t="s">
        <v>121</v>
      </c>
      <c r="G1574" s="138"/>
      <c r="I1574" s="138"/>
      <c r="M1574" s="139"/>
    </row>
    <row r="1575" spans="1:13" customFormat="1" ht="12.75">
      <c r="A1575" s="136"/>
      <c r="B1575" s="137"/>
      <c r="E1575" s="138"/>
      <c r="G1575" s="138"/>
      <c r="I1575" s="138"/>
      <c r="M1575" s="139"/>
    </row>
    <row r="1576" spans="1:13" customFormat="1" ht="12.75">
      <c r="A1576" s="136"/>
      <c r="B1576" s="137" t="s">
        <v>586</v>
      </c>
      <c r="D1576" s="140" t="s">
        <v>50</v>
      </c>
      <c r="E1576" s="141">
        <v>9.1750000000000007</v>
      </c>
      <c r="F1576" s="142"/>
      <c r="G1576" s="148"/>
      <c r="H1576" s="142"/>
      <c r="I1576" s="143"/>
      <c r="J1576" s="144"/>
      <c r="K1576" s="144"/>
      <c r="L1576" s="145" t="s">
        <v>50</v>
      </c>
      <c r="M1576" s="146">
        <f>E1576</f>
        <v>9.1750000000000007</v>
      </c>
    </row>
    <row r="1577" spans="1:13" customFormat="1" ht="12.75">
      <c r="A1577" s="136"/>
      <c r="B1577" s="10" t="s">
        <v>548</v>
      </c>
      <c r="E1577" s="138" t="s">
        <v>121</v>
      </c>
      <c r="G1577" s="138"/>
      <c r="I1577" s="138"/>
      <c r="M1577" s="139"/>
    </row>
    <row r="1578" spans="1:13" customFormat="1" ht="12.75">
      <c r="A1578" s="136"/>
      <c r="B1578" s="137"/>
      <c r="E1578" s="138"/>
      <c r="G1578" s="138"/>
      <c r="I1578" s="138"/>
      <c r="M1578" s="139"/>
    </row>
    <row r="1579" spans="1:13" customFormat="1" ht="12.75">
      <c r="A1579" s="136"/>
      <c r="B1579" s="137" t="s">
        <v>587</v>
      </c>
      <c r="D1579" s="140" t="s">
        <v>50</v>
      </c>
      <c r="E1579" s="141">
        <v>9.0649999999999995</v>
      </c>
      <c r="F1579" s="142"/>
      <c r="G1579" s="148"/>
      <c r="H1579" s="142"/>
      <c r="I1579" s="143"/>
      <c r="J1579" s="144"/>
      <c r="K1579" s="144"/>
      <c r="L1579" s="145" t="s">
        <v>50</v>
      </c>
      <c r="M1579" s="146">
        <f>E1579</f>
        <v>9.0649999999999995</v>
      </c>
    </row>
    <row r="1580" spans="1:13" customFormat="1" ht="12.75">
      <c r="A1580" s="136"/>
      <c r="B1580" s="10" t="s">
        <v>548</v>
      </c>
      <c r="E1580" s="138" t="s">
        <v>121</v>
      </c>
      <c r="G1580" s="138"/>
      <c r="I1580" s="138"/>
      <c r="M1580" s="139"/>
    </row>
    <row r="1581" spans="1:13" customFormat="1" ht="12.75">
      <c r="A1581" s="136"/>
      <c r="B1581" s="137"/>
      <c r="E1581" s="138"/>
      <c r="G1581" s="138"/>
      <c r="I1581" s="138"/>
      <c r="M1581" s="139"/>
    </row>
    <row r="1582" spans="1:13" customFormat="1" ht="12.75">
      <c r="A1582" s="136"/>
      <c r="B1582" s="137" t="s">
        <v>588</v>
      </c>
      <c r="D1582" s="140" t="s">
        <v>50</v>
      </c>
      <c r="E1582" s="141">
        <v>5.17</v>
      </c>
      <c r="F1582" s="142"/>
      <c r="G1582" s="148"/>
      <c r="H1582" s="142"/>
      <c r="I1582" s="143"/>
      <c r="J1582" s="144"/>
      <c r="K1582" s="144"/>
      <c r="L1582" s="145" t="s">
        <v>50</v>
      </c>
      <c r="M1582" s="146">
        <f>E1582</f>
        <v>5.17</v>
      </c>
    </row>
    <row r="1583" spans="1:13" customFormat="1" ht="12.75">
      <c r="A1583" s="136"/>
      <c r="B1583" s="10" t="s">
        <v>548</v>
      </c>
      <c r="E1583" s="138" t="s">
        <v>121</v>
      </c>
      <c r="G1583" s="138"/>
      <c r="I1583" s="138"/>
      <c r="M1583" s="139"/>
    </row>
    <row r="1584" spans="1:13" customFormat="1" ht="12.75">
      <c r="A1584" s="136"/>
      <c r="B1584" s="137"/>
      <c r="E1584" s="138"/>
      <c r="G1584" s="138"/>
      <c r="I1584" s="138"/>
      <c r="M1584" s="139"/>
    </row>
    <row r="1585" spans="1:13" customFormat="1" ht="12.75">
      <c r="A1585" s="136"/>
      <c r="B1585" s="152" t="s">
        <v>591</v>
      </c>
      <c r="D1585" s="140" t="s">
        <v>50</v>
      </c>
      <c r="E1585" s="141">
        <v>29.73</v>
      </c>
      <c r="F1585" s="142"/>
      <c r="G1585" s="148"/>
      <c r="H1585" s="142"/>
      <c r="I1585" s="143"/>
      <c r="J1585" s="144"/>
      <c r="K1585" s="144"/>
      <c r="L1585" s="145" t="s">
        <v>50</v>
      </c>
      <c r="M1585" s="146">
        <f>E1585</f>
        <v>29.73</v>
      </c>
    </row>
    <row r="1586" spans="1:13" customFormat="1" ht="12.75">
      <c r="A1586" s="136"/>
      <c r="B1586" s="10" t="s">
        <v>548</v>
      </c>
      <c r="E1586" s="138" t="s">
        <v>121</v>
      </c>
      <c r="G1586" s="138"/>
      <c r="I1586" s="138"/>
      <c r="M1586" s="139"/>
    </row>
    <row r="1587" spans="1:13" customFormat="1" ht="12.75">
      <c r="A1587" s="136"/>
      <c r="B1587" s="137"/>
      <c r="E1587" s="138"/>
      <c r="G1587" s="138"/>
      <c r="I1587" s="138"/>
      <c r="M1587" s="139"/>
    </row>
    <row r="1588" spans="1:13" customFormat="1" ht="12.75">
      <c r="A1588" s="136"/>
      <c r="B1588" s="152" t="s">
        <v>590</v>
      </c>
      <c r="D1588" s="140" t="s">
        <v>50</v>
      </c>
      <c r="E1588" s="141">
        <v>19.809000000000001</v>
      </c>
      <c r="F1588" s="142"/>
      <c r="G1588" s="148"/>
      <c r="H1588" s="142"/>
      <c r="I1588" s="143"/>
      <c r="J1588" s="144"/>
      <c r="K1588" s="144"/>
      <c r="L1588" s="145" t="s">
        <v>50</v>
      </c>
      <c r="M1588" s="146">
        <f>E1588</f>
        <v>19.809000000000001</v>
      </c>
    </row>
    <row r="1589" spans="1:13" customFormat="1" ht="12.75">
      <c r="A1589" s="136"/>
      <c r="B1589" s="10" t="s">
        <v>548</v>
      </c>
      <c r="E1589" s="138" t="s">
        <v>121</v>
      </c>
      <c r="G1589" s="138"/>
      <c r="I1589" s="138"/>
      <c r="M1589" s="139"/>
    </row>
    <row r="1590" spans="1:13" customFormat="1" ht="12.75">
      <c r="A1590" s="136"/>
      <c r="B1590" s="137"/>
      <c r="E1590" s="138"/>
      <c r="G1590" s="138"/>
      <c r="I1590" s="138"/>
      <c r="M1590" s="139"/>
    </row>
    <row r="1591" spans="1:13" customFormat="1" ht="12.75">
      <c r="A1591" s="136"/>
      <c r="B1591" s="152" t="s">
        <v>589</v>
      </c>
      <c r="D1591" s="140" t="s">
        <v>50</v>
      </c>
      <c r="E1591" s="141">
        <v>35.71</v>
      </c>
      <c r="F1591" s="142"/>
      <c r="G1591" s="148"/>
      <c r="H1591" s="142"/>
      <c r="I1591" s="143"/>
      <c r="J1591" s="144"/>
      <c r="K1591" s="144"/>
      <c r="L1591" s="145" t="s">
        <v>50</v>
      </c>
      <c r="M1591" s="146">
        <f>E1591</f>
        <v>35.71</v>
      </c>
    </row>
    <row r="1592" spans="1:13" customFormat="1" ht="12.75">
      <c r="A1592" s="136"/>
      <c r="B1592" s="10" t="s">
        <v>548</v>
      </c>
      <c r="E1592" s="138" t="s">
        <v>121</v>
      </c>
      <c r="G1592" s="138"/>
      <c r="I1592" s="138"/>
      <c r="M1592" s="139"/>
    </row>
    <row r="1593" spans="1:13" customFormat="1" ht="12.75">
      <c r="A1593" s="136"/>
      <c r="B1593" s="137"/>
      <c r="E1593" s="138"/>
      <c r="G1593" s="138"/>
      <c r="I1593" s="138"/>
      <c r="M1593" s="139"/>
    </row>
    <row r="1594" spans="1:13" customFormat="1" ht="12.75">
      <c r="A1594" s="136"/>
      <c r="B1594" s="137" t="s">
        <v>593</v>
      </c>
      <c r="D1594" s="140" t="s">
        <v>50</v>
      </c>
      <c r="E1594" s="141">
        <v>18.422000000000001</v>
      </c>
      <c r="F1594" s="142"/>
      <c r="G1594" s="148"/>
      <c r="H1594" s="142"/>
      <c r="I1594" s="143"/>
      <c r="J1594" s="144"/>
      <c r="K1594" s="144"/>
      <c r="L1594" s="145" t="s">
        <v>50</v>
      </c>
      <c r="M1594" s="146">
        <f>E1594</f>
        <v>18.422000000000001</v>
      </c>
    </row>
    <row r="1595" spans="1:13" customFormat="1" ht="12.75">
      <c r="A1595" s="136"/>
      <c r="B1595" s="10" t="s">
        <v>548</v>
      </c>
      <c r="E1595" s="138" t="s">
        <v>121</v>
      </c>
      <c r="G1595" s="138"/>
      <c r="I1595" s="138"/>
      <c r="M1595" s="139"/>
    </row>
    <row r="1596" spans="1:13" customFormat="1" ht="12.75">
      <c r="A1596" s="136"/>
      <c r="B1596" s="137"/>
      <c r="E1596" s="138"/>
      <c r="G1596" s="138"/>
      <c r="I1596" s="138"/>
      <c r="M1596" s="139"/>
    </row>
    <row r="1597" spans="1:13" customFormat="1" ht="12.75">
      <c r="A1597" s="136"/>
      <c r="B1597" s="137" t="s">
        <v>594</v>
      </c>
      <c r="D1597" s="140" t="s">
        <v>50</v>
      </c>
      <c r="E1597" s="141">
        <v>19.337</v>
      </c>
      <c r="F1597" s="142"/>
      <c r="G1597" s="148"/>
      <c r="H1597" s="142"/>
      <c r="I1597" s="143"/>
      <c r="J1597" s="144"/>
      <c r="K1597" s="144"/>
      <c r="L1597" s="145" t="s">
        <v>50</v>
      </c>
      <c r="M1597" s="146">
        <f>E1597</f>
        <v>19.337</v>
      </c>
    </row>
    <row r="1598" spans="1:13" customFormat="1" ht="12.75">
      <c r="A1598" s="136"/>
      <c r="B1598" s="10" t="s">
        <v>548</v>
      </c>
      <c r="E1598" s="138" t="s">
        <v>121</v>
      </c>
      <c r="G1598" s="138"/>
      <c r="I1598" s="138"/>
      <c r="M1598" s="139"/>
    </row>
    <row r="1599" spans="1:13" customFormat="1" ht="12.75">
      <c r="A1599" s="136"/>
      <c r="B1599" s="137"/>
      <c r="E1599" s="138"/>
      <c r="G1599" s="138"/>
      <c r="I1599" s="138"/>
      <c r="M1599" s="139"/>
    </row>
    <row r="1600" spans="1:13" customFormat="1" ht="12.75">
      <c r="A1600" s="136"/>
      <c r="B1600" s="137" t="s">
        <v>592</v>
      </c>
      <c r="D1600" s="140" t="s">
        <v>50</v>
      </c>
      <c r="E1600" s="141">
        <v>10.55</v>
      </c>
      <c r="F1600" s="142"/>
      <c r="G1600" s="148"/>
      <c r="H1600" s="142"/>
      <c r="I1600" s="143"/>
      <c r="J1600" s="144"/>
      <c r="K1600" s="144"/>
      <c r="L1600" s="145" t="s">
        <v>50</v>
      </c>
      <c r="M1600" s="146">
        <f>E1600</f>
        <v>10.55</v>
      </c>
    </row>
    <row r="1601" spans="1:28" customFormat="1" ht="12.75">
      <c r="A1601" s="136"/>
      <c r="B1601" s="10" t="s">
        <v>548</v>
      </c>
      <c r="E1601" s="138" t="s">
        <v>121</v>
      </c>
      <c r="G1601" s="138"/>
      <c r="I1601" s="138"/>
      <c r="M1601" s="139"/>
    </row>
    <row r="1602" spans="1:28" customFormat="1" ht="12.75">
      <c r="A1602" s="136"/>
      <c r="B1602" s="137"/>
      <c r="E1602" s="138"/>
      <c r="G1602" s="138"/>
      <c r="I1602" s="138"/>
      <c r="M1602" s="139"/>
    </row>
    <row r="1603" spans="1:28" customFormat="1" ht="12.75">
      <c r="A1603" s="136"/>
      <c r="B1603" s="137" t="s">
        <v>595</v>
      </c>
      <c r="D1603" s="140" t="s">
        <v>50</v>
      </c>
      <c r="E1603" s="141">
        <v>18.696000000000002</v>
      </c>
      <c r="F1603" s="142"/>
      <c r="G1603" s="148"/>
      <c r="H1603" s="142"/>
      <c r="I1603" s="143"/>
      <c r="J1603" s="144"/>
      <c r="K1603" s="144"/>
      <c r="L1603" s="145" t="s">
        <v>50</v>
      </c>
      <c r="M1603" s="146">
        <f>E1603</f>
        <v>18.696000000000002</v>
      </c>
    </row>
    <row r="1604" spans="1:28" customFormat="1" ht="12.75">
      <c r="A1604" s="136"/>
      <c r="B1604" s="10" t="s">
        <v>548</v>
      </c>
      <c r="E1604" s="138" t="s">
        <v>121</v>
      </c>
      <c r="G1604" s="138"/>
      <c r="I1604" s="138"/>
      <c r="M1604" s="139"/>
    </row>
    <row r="1605" spans="1:28" customFormat="1" ht="12.75">
      <c r="A1605" s="136"/>
      <c r="B1605" s="137"/>
      <c r="E1605" s="138"/>
      <c r="G1605" s="138"/>
      <c r="I1605" s="138"/>
      <c r="M1605" s="139"/>
    </row>
    <row r="1606" spans="1:28" customFormat="1" ht="12.75">
      <c r="A1606" s="136"/>
      <c r="B1606" s="137" t="s">
        <v>596</v>
      </c>
      <c r="D1606" s="140" t="s">
        <v>50</v>
      </c>
      <c r="E1606" s="141">
        <v>22.225000000000001</v>
      </c>
      <c r="F1606" s="142"/>
      <c r="G1606" s="148"/>
      <c r="H1606" s="142"/>
      <c r="I1606" s="143"/>
      <c r="J1606" s="144"/>
      <c r="K1606" s="144"/>
      <c r="L1606" s="145" t="s">
        <v>50</v>
      </c>
      <c r="M1606" s="146">
        <f>E1606</f>
        <v>22.225000000000001</v>
      </c>
    </row>
    <row r="1607" spans="1:28" customFormat="1" ht="12.75">
      <c r="A1607" s="136"/>
      <c r="B1607" s="10" t="s">
        <v>548</v>
      </c>
      <c r="E1607" s="138" t="s">
        <v>121</v>
      </c>
      <c r="G1607" s="138"/>
      <c r="I1607" s="138"/>
      <c r="M1607" s="139"/>
    </row>
    <row r="1608" spans="1:28" customFormat="1" ht="12.75">
      <c r="A1608" s="136"/>
      <c r="B1608" s="137"/>
      <c r="E1608" s="138"/>
      <c r="G1608" s="138"/>
      <c r="I1608" s="138"/>
      <c r="M1608" s="139"/>
    </row>
    <row r="1609" spans="1:28" customFormat="1" ht="12.75">
      <c r="A1609" s="136"/>
      <c r="B1609" s="137" t="s">
        <v>597</v>
      </c>
      <c r="D1609" s="140" t="s">
        <v>50</v>
      </c>
      <c r="E1609" s="141">
        <v>36.561999999999998</v>
      </c>
      <c r="F1609" s="142"/>
      <c r="G1609" s="148"/>
      <c r="H1609" s="142"/>
      <c r="I1609" s="143"/>
      <c r="J1609" s="144"/>
      <c r="K1609" s="144"/>
      <c r="L1609" s="145" t="s">
        <v>50</v>
      </c>
      <c r="M1609" s="146">
        <f>E1609</f>
        <v>36.561999999999998</v>
      </c>
    </row>
    <row r="1610" spans="1:28" customFormat="1" ht="12.75">
      <c r="A1610" s="136"/>
      <c r="B1610" s="10" t="s">
        <v>548</v>
      </c>
      <c r="E1610" s="138" t="s">
        <v>121</v>
      </c>
      <c r="G1610" s="138"/>
      <c r="I1610" s="138"/>
      <c r="M1610" s="139"/>
    </row>
    <row r="1611" spans="1:28" customFormat="1" ht="12.75">
      <c r="A1611" s="136"/>
      <c r="B1611" s="137"/>
      <c r="E1611" s="138"/>
      <c r="G1611" s="138"/>
      <c r="I1611" s="138"/>
      <c r="M1611" s="139"/>
    </row>
    <row r="1612" spans="1:28" customFormat="1" ht="12.75">
      <c r="A1612" s="136"/>
      <c r="B1612" s="137" t="s">
        <v>406</v>
      </c>
      <c r="D1612" s="140" t="s">
        <v>50</v>
      </c>
      <c r="E1612" s="141">
        <v>30.187000000000001</v>
      </c>
      <c r="F1612" s="142"/>
      <c r="G1612" s="148"/>
      <c r="H1612" s="142"/>
      <c r="I1612" s="143"/>
      <c r="J1612" s="144"/>
      <c r="K1612" s="144"/>
      <c r="L1612" s="145" t="s">
        <v>50</v>
      </c>
      <c r="M1612" s="146">
        <f>E1612</f>
        <v>30.187000000000001</v>
      </c>
    </row>
    <row r="1613" spans="1:28" customFormat="1" ht="12.75">
      <c r="A1613" s="136"/>
      <c r="B1613" s="10" t="s">
        <v>616</v>
      </c>
      <c r="E1613" s="138" t="s">
        <v>121</v>
      </c>
      <c r="G1613" s="138"/>
      <c r="I1613" s="138"/>
      <c r="M1613" s="139"/>
    </row>
    <row r="1614" spans="1:28" customFormat="1" ht="12.75">
      <c r="A1614" s="136"/>
      <c r="B1614" s="137"/>
      <c r="E1614" s="138"/>
      <c r="G1614" s="138"/>
      <c r="I1614" s="138"/>
      <c r="M1614" s="139"/>
    </row>
    <row r="1615" spans="1:28" s="161" customFormat="1" ht="12.75">
      <c r="A1615" s="163"/>
      <c r="B1615" s="161" t="s">
        <v>10</v>
      </c>
      <c r="E1615" s="161" t="s">
        <v>149</v>
      </c>
      <c r="H1615" s="164"/>
      <c r="I1615" s="165" t="s">
        <v>265</v>
      </c>
      <c r="L1615" s="162" t="s">
        <v>50</v>
      </c>
      <c r="M1615" s="46">
        <f>SUM(M1519:M1612)</f>
        <v>374.13000000000005</v>
      </c>
    </row>
    <row r="1616" spans="1:28" customFormat="1" ht="12.75">
      <c r="A1616" s="147"/>
      <c r="B1616" s="137"/>
      <c r="E1616" s="138"/>
      <c r="G1616" s="138"/>
      <c r="I1616" s="138"/>
      <c r="M1616" s="139"/>
      <c r="Q1616" s="137"/>
      <c r="S1616" s="140"/>
      <c r="T1616" s="148"/>
      <c r="U1616" s="142"/>
      <c r="V1616" s="148"/>
      <c r="Y1616" s="144"/>
      <c r="Z1616" s="144"/>
      <c r="AA1616" s="145"/>
      <c r="AB1616" s="148"/>
    </row>
    <row r="1617" spans="1:28" customFormat="1" ht="35.25" customHeight="1">
      <c r="A1617" s="134" t="str">
        <f>ORÇAMENTO!A221</f>
        <v>14.8</v>
      </c>
      <c r="B1617" s="135"/>
      <c r="C1617" s="383" t="str">
        <f>ORÇAMENTO!D221</f>
        <v>APLICAÇÃO DE LONA PRETA, ESP. 150 MICRAS, INCLUSIVE FORNECIMENTO</v>
      </c>
      <c r="D1617" s="383"/>
      <c r="E1617" s="383"/>
      <c r="F1617" s="383"/>
      <c r="G1617" s="383"/>
      <c r="H1617" s="383"/>
      <c r="I1617" s="383"/>
      <c r="J1617" s="383"/>
      <c r="K1617" s="383"/>
      <c r="L1617" s="383"/>
      <c r="M1617" s="108" t="str">
        <f>ORÇAMENTO!E221</f>
        <v>M2</v>
      </c>
    </row>
    <row r="1618" spans="1:28" customFormat="1" ht="12.75">
      <c r="A1618" s="136"/>
      <c r="B1618" s="137"/>
      <c r="E1618" s="138"/>
      <c r="G1618" s="138"/>
      <c r="I1618" s="138"/>
      <c r="M1618" s="139"/>
    </row>
    <row r="1619" spans="1:28" customFormat="1" ht="12.75">
      <c r="A1619" s="136"/>
      <c r="B1619" s="152" t="s">
        <v>615</v>
      </c>
      <c r="D1619" s="140" t="s">
        <v>50</v>
      </c>
      <c r="E1619" s="141">
        <v>24.36</v>
      </c>
      <c r="F1619" s="142"/>
      <c r="G1619" s="148"/>
      <c r="H1619" s="142"/>
      <c r="I1619" s="143"/>
      <c r="J1619" s="144"/>
      <c r="K1619" s="144"/>
      <c r="L1619" s="145" t="s">
        <v>50</v>
      </c>
      <c r="M1619" s="146">
        <f>E1619</f>
        <v>24.36</v>
      </c>
    </row>
    <row r="1620" spans="1:28" customFormat="1" ht="12.75">
      <c r="A1620" s="136"/>
      <c r="B1620" s="137" t="s">
        <v>598</v>
      </c>
      <c r="E1620" s="138" t="s">
        <v>121</v>
      </c>
      <c r="G1620" s="138"/>
      <c r="I1620" s="138"/>
      <c r="M1620" s="139"/>
    </row>
    <row r="1621" spans="1:28" customFormat="1" ht="12.75">
      <c r="A1621" s="136"/>
      <c r="B1621" s="137"/>
      <c r="E1621" s="138"/>
      <c r="G1621" s="138"/>
      <c r="I1621" s="138"/>
      <c r="M1621" s="139"/>
    </row>
    <row r="1622" spans="1:28" customFormat="1" ht="12.75">
      <c r="A1622" s="136"/>
      <c r="B1622" s="10" t="s">
        <v>645</v>
      </c>
      <c r="D1622" s="140" t="s">
        <v>50</v>
      </c>
      <c r="E1622" s="141">
        <v>17.757999999999999</v>
      </c>
      <c r="F1622" s="142"/>
      <c r="G1622" s="148"/>
      <c r="H1622" s="142"/>
      <c r="I1622" s="143"/>
      <c r="J1622" s="144"/>
      <c r="K1622" s="144"/>
      <c r="L1622" s="145" t="s">
        <v>50</v>
      </c>
      <c r="M1622" s="146">
        <f>E1622</f>
        <v>17.757999999999999</v>
      </c>
    </row>
    <row r="1623" spans="1:28" customFormat="1" ht="12.75">
      <c r="A1623" s="136"/>
      <c r="B1623" s="10" t="s">
        <v>645</v>
      </c>
      <c r="E1623" s="138" t="s">
        <v>121</v>
      </c>
      <c r="G1623" s="138"/>
      <c r="I1623" s="138"/>
      <c r="M1623" s="139"/>
    </row>
    <row r="1624" spans="1:28" customFormat="1" ht="12.75">
      <c r="A1624" s="136"/>
      <c r="B1624" s="137"/>
      <c r="E1624" s="138"/>
      <c r="G1624" s="138"/>
      <c r="I1624" s="138"/>
      <c r="M1624" s="139"/>
    </row>
    <row r="1625" spans="1:28" s="161" customFormat="1" ht="12.75">
      <c r="A1625" s="163"/>
      <c r="B1625" s="161" t="s">
        <v>10</v>
      </c>
      <c r="E1625" s="161" t="s">
        <v>149</v>
      </c>
      <c r="H1625" s="164"/>
      <c r="I1625" s="165" t="s">
        <v>265</v>
      </c>
      <c r="L1625" s="162" t="s">
        <v>50</v>
      </c>
      <c r="M1625" s="46">
        <f>SUM(M1619:M1622)</f>
        <v>42.117999999999995</v>
      </c>
    </row>
    <row r="1626" spans="1:28" customFormat="1" ht="12.75">
      <c r="A1626" s="147"/>
      <c r="B1626" s="137"/>
      <c r="E1626" s="138"/>
      <c r="G1626" s="138"/>
      <c r="I1626" s="138"/>
      <c r="M1626" s="139"/>
      <c r="Q1626" s="137"/>
      <c r="S1626" s="140"/>
      <c r="T1626" s="148"/>
      <c r="U1626" s="142"/>
      <c r="V1626" s="148"/>
      <c r="Y1626" s="144"/>
      <c r="Z1626" s="144"/>
      <c r="AA1626" s="145"/>
      <c r="AB1626" s="148"/>
    </row>
    <row r="1627" spans="1:28" customFormat="1" ht="35.25" customHeight="1">
      <c r="A1627" s="134" t="str">
        <f>ORÇAMENTO!A222</f>
        <v>14.9</v>
      </c>
      <c r="B1627" s="135"/>
      <c r="C1627" s="383" t="str">
        <f>ORÇAMENTO!D222</f>
        <v>CAMADA DE REGULARIZAÇÃO ARGAMASSA TRAÇO 1:3, ESPESSURA MÉDIA 3,0 CM</v>
      </c>
      <c r="D1627" s="383"/>
      <c r="E1627" s="383"/>
      <c r="F1627" s="383"/>
      <c r="G1627" s="383"/>
      <c r="H1627" s="383"/>
      <c r="I1627" s="383"/>
      <c r="J1627" s="383"/>
      <c r="K1627" s="383"/>
      <c r="L1627" s="383"/>
      <c r="M1627" s="108" t="str">
        <f>ORÇAMENTO!E222</f>
        <v>M2</v>
      </c>
    </row>
    <row r="1628" spans="1:28" customFormat="1" ht="12.75">
      <c r="A1628" s="136"/>
      <c r="B1628" s="137"/>
      <c r="E1628" s="138"/>
      <c r="G1628" s="138"/>
      <c r="I1628" s="138"/>
      <c r="M1628" s="139"/>
    </row>
    <row r="1629" spans="1:28" customFormat="1" ht="12.75">
      <c r="A1629" s="136"/>
      <c r="B1629" s="10" t="s">
        <v>640</v>
      </c>
      <c r="D1629" s="140" t="s">
        <v>50</v>
      </c>
      <c r="E1629" s="141">
        <v>9.0069999999999997</v>
      </c>
      <c r="F1629" s="142"/>
      <c r="G1629" s="148"/>
      <c r="H1629" s="142"/>
      <c r="I1629" s="143"/>
      <c r="J1629" s="144"/>
      <c r="K1629" s="144"/>
      <c r="L1629" s="145" t="s">
        <v>50</v>
      </c>
      <c r="M1629" s="146">
        <f>E1629</f>
        <v>9.0069999999999997</v>
      </c>
    </row>
    <row r="1630" spans="1:28" customFormat="1" ht="12.75">
      <c r="A1630" s="136"/>
      <c r="B1630" s="10" t="s">
        <v>645</v>
      </c>
      <c r="E1630" s="138" t="s">
        <v>121</v>
      </c>
      <c r="G1630" s="138"/>
      <c r="I1630" s="138"/>
      <c r="M1630" s="139"/>
    </row>
    <row r="1631" spans="1:28" customFormat="1" ht="12.75">
      <c r="A1631" s="136"/>
      <c r="B1631" s="137"/>
      <c r="E1631" s="138"/>
      <c r="G1631" s="138"/>
      <c r="I1631" s="138"/>
      <c r="M1631" s="139"/>
    </row>
    <row r="1632" spans="1:28" customFormat="1" ht="12.75">
      <c r="A1632" s="136"/>
      <c r="B1632" s="10" t="s">
        <v>645</v>
      </c>
      <c r="D1632" s="140" t="s">
        <v>50</v>
      </c>
      <c r="E1632" s="141">
        <v>17.757999999999999</v>
      </c>
      <c r="F1632" s="142"/>
      <c r="G1632" s="148"/>
      <c r="H1632" s="142"/>
      <c r="I1632" s="143"/>
      <c r="J1632" s="144"/>
      <c r="K1632" s="144"/>
      <c r="L1632" s="145" t="s">
        <v>50</v>
      </c>
      <c r="M1632" s="146">
        <f>E1632</f>
        <v>17.757999999999999</v>
      </c>
    </row>
    <row r="1633" spans="1:13" customFormat="1" ht="12.75">
      <c r="A1633" s="136"/>
      <c r="B1633" s="10" t="s">
        <v>645</v>
      </c>
      <c r="E1633" s="138" t="s">
        <v>121</v>
      </c>
      <c r="G1633" s="138"/>
      <c r="I1633" s="138"/>
      <c r="M1633" s="139"/>
    </row>
    <row r="1634" spans="1:13" customFormat="1" ht="12.75">
      <c r="A1634" s="136"/>
      <c r="B1634" s="137"/>
      <c r="E1634" s="138"/>
      <c r="G1634" s="138"/>
      <c r="I1634" s="138"/>
      <c r="M1634" s="139"/>
    </row>
    <row r="1635" spans="1:13" customFormat="1" ht="12.75">
      <c r="A1635" s="136"/>
      <c r="B1635" s="10" t="s">
        <v>571</v>
      </c>
      <c r="D1635" s="140" t="s">
        <v>50</v>
      </c>
      <c r="E1635" s="141">
        <v>2.9670000000000001</v>
      </c>
      <c r="F1635" s="142"/>
      <c r="G1635" s="148"/>
      <c r="H1635" s="142"/>
      <c r="I1635" s="143"/>
      <c r="J1635" s="144"/>
      <c r="K1635" s="144"/>
      <c r="L1635" s="145" t="s">
        <v>50</v>
      </c>
      <c r="M1635" s="146">
        <f>E1635</f>
        <v>2.9670000000000001</v>
      </c>
    </row>
    <row r="1636" spans="1:13" customFormat="1" ht="12.75">
      <c r="A1636" s="136"/>
      <c r="B1636" s="10" t="s">
        <v>640</v>
      </c>
      <c r="E1636" s="138" t="s">
        <v>121</v>
      </c>
      <c r="G1636" s="138"/>
      <c r="I1636" s="138"/>
      <c r="M1636" s="139"/>
    </row>
    <row r="1637" spans="1:13" customFormat="1" ht="12.75">
      <c r="A1637" s="136"/>
      <c r="B1637" s="137"/>
      <c r="E1637" s="138"/>
      <c r="G1637" s="138"/>
      <c r="I1637" s="138"/>
      <c r="M1637" s="139"/>
    </row>
    <row r="1638" spans="1:13" customFormat="1" ht="12.75">
      <c r="A1638" s="136"/>
      <c r="B1638" s="10" t="s">
        <v>572</v>
      </c>
      <c r="D1638" s="140" t="s">
        <v>50</v>
      </c>
      <c r="E1638" s="141">
        <v>4.8600000000000003</v>
      </c>
      <c r="F1638" s="142"/>
      <c r="G1638" s="148"/>
      <c r="H1638" s="142"/>
      <c r="I1638" s="143"/>
      <c r="J1638" s="144"/>
      <c r="K1638" s="144"/>
      <c r="L1638" s="145" t="s">
        <v>50</v>
      </c>
      <c r="M1638" s="146">
        <f>E1638</f>
        <v>4.8600000000000003</v>
      </c>
    </row>
    <row r="1639" spans="1:13" customFormat="1" ht="12.75">
      <c r="A1639" s="136"/>
      <c r="B1639" s="10" t="s">
        <v>640</v>
      </c>
      <c r="E1639" s="138" t="s">
        <v>121</v>
      </c>
      <c r="G1639" s="138"/>
      <c r="I1639" s="138"/>
      <c r="M1639" s="139"/>
    </row>
    <row r="1640" spans="1:13" customFormat="1" ht="12.75">
      <c r="A1640" s="136"/>
      <c r="B1640" s="137"/>
      <c r="E1640" s="138"/>
      <c r="G1640" s="138"/>
      <c r="I1640" s="138"/>
      <c r="M1640" s="139"/>
    </row>
    <row r="1641" spans="1:13" customFormat="1" ht="12.75">
      <c r="A1641" s="136"/>
      <c r="B1641" s="10" t="s">
        <v>860</v>
      </c>
      <c r="D1641" s="140" t="s">
        <v>50</v>
      </c>
      <c r="E1641" s="141">
        <v>3.76</v>
      </c>
      <c r="F1641" s="142"/>
      <c r="G1641" s="148"/>
      <c r="H1641" s="142"/>
      <c r="I1641" s="143"/>
      <c r="J1641" s="144"/>
      <c r="K1641" s="144"/>
      <c r="L1641" s="145" t="s">
        <v>50</v>
      </c>
      <c r="M1641" s="146">
        <f>E1641</f>
        <v>3.76</v>
      </c>
    </row>
    <row r="1642" spans="1:13" customFormat="1" ht="12.75">
      <c r="A1642" s="136"/>
      <c r="B1642" s="10" t="s">
        <v>640</v>
      </c>
      <c r="E1642" s="138" t="s">
        <v>121</v>
      </c>
      <c r="G1642" s="138"/>
      <c r="I1642" s="138"/>
      <c r="M1642" s="139"/>
    </row>
    <row r="1643" spans="1:13" customFormat="1" ht="12.75">
      <c r="A1643" s="136"/>
      <c r="B1643" s="137"/>
      <c r="E1643" s="138"/>
      <c r="G1643" s="138"/>
      <c r="I1643" s="138"/>
      <c r="M1643" s="139"/>
    </row>
    <row r="1644" spans="1:13" customFormat="1" ht="12.75">
      <c r="A1644" s="136"/>
      <c r="B1644" s="10" t="s">
        <v>573</v>
      </c>
      <c r="D1644" s="140" t="s">
        <v>50</v>
      </c>
      <c r="E1644" s="141">
        <v>3.12</v>
      </c>
      <c r="F1644" s="142"/>
      <c r="G1644" s="148"/>
      <c r="H1644" s="142"/>
      <c r="I1644" s="143"/>
      <c r="J1644" s="144"/>
      <c r="K1644" s="144"/>
      <c r="L1644" s="145" t="s">
        <v>50</v>
      </c>
      <c r="M1644" s="146">
        <f>E1644</f>
        <v>3.12</v>
      </c>
    </row>
    <row r="1645" spans="1:13" customFormat="1" ht="12.75">
      <c r="A1645" s="136"/>
      <c r="B1645" s="10" t="s">
        <v>548</v>
      </c>
      <c r="E1645" s="138" t="s">
        <v>121</v>
      </c>
      <c r="G1645" s="138"/>
      <c r="I1645" s="138"/>
      <c r="M1645" s="139"/>
    </row>
    <row r="1646" spans="1:13" customFormat="1" ht="12.75">
      <c r="A1646" s="136"/>
      <c r="B1646" s="137"/>
      <c r="E1646" s="138"/>
      <c r="G1646" s="138"/>
      <c r="I1646" s="138"/>
      <c r="M1646" s="139"/>
    </row>
    <row r="1647" spans="1:13" customFormat="1" ht="12.75">
      <c r="A1647" s="136"/>
      <c r="B1647" s="10" t="s">
        <v>574</v>
      </c>
      <c r="D1647" s="140" t="s">
        <v>50</v>
      </c>
      <c r="E1647" s="141">
        <v>3.4319999999999999</v>
      </c>
      <c r="F1647" s="142"/>
      <c r="G1647" s="148"/>
      <c r="H1647" s="142"/>
      <c r="I1647" s="143"/>
      <c r="J1647" s="144"/>
      <c r="K1647" s="144"/>
      <c r="L1647" s="145" t="s">
        <v>50</v>
      </c>
      <c r="M1647" s="146">
        <f>E1647</f>
        <v>3.4319999999999999</v>
      </c>
    </row>
    <row r="1648" spans="1:13" customFormat="1" ht="12.75">
      <c r="A1648" s="136"/>
      <c r="B1648" s="10" t="s">
        <v>548</v>
      </c>
      <c r="E1648" s="138" t="s">
        <v>121</v>
      </c>
      <c r="G1648" s="138"/>
      <c r="I1648" s="138"/>
      <c r="M1648" s="139"/>
    </row>
    <row r="1649" spans="1:13" customFormat="1" ht="12.75">
      <c r="A1649" s="136"/>
      <c r="B1649" s="137"/>
      <c r="E1649" s="138"/>
      <c r="G1649" s="138"/>
      <c r="I1649" s="138"/>
      <c r="M1649" s="139"/>
    </row>
    <row r="1650" spans="1:13" customFormat="1" ht="12.75">
      <c r="A1650" s="136"/>
      <c r="B1650" s="10" t="s">
        <v>575</v>
      </c>
      <c r="D1650" s="140" t="s">
        <v>50</v>
      </c>
      <c r="E1650" s="141">
        <v>1.9</v>
      </c>
      <c r="F1650" s="142"/>
      <c r="G1650" s="148"/>
      <c r="H1650" s="142"/>
      <c r="I1650" s="143"/>
      <c r="J1650" s="144"/>
      <c r="K1650" s="144"/>
      <c r="L1650" s="145" t="s">
        <v>50</v>
      </c>
      <c r="M1650" s="146">
        <f>E1650</f>
        <v>1.9</v>
      </c>
    </row>
    <row r="1651" spans="1:13" customFormat="1" ht="12.75">
      <c r="A1651" s="136"/>
      <c r="B1651" s="10" t="s">
        <v>548</v>
      </c>
      <c r="E1651" s="138" t="s">
        <v>121</v>
      </c>
      <c r="G1651" s="138"/>
      <c r="I1651" s="138"/>
      <c r="M1651" s="139"/>
    </row>
    <row r="1652" spans="1:13" customFormat="1" ht="12.75">
      <c r="A1652" s="136"/>
      <c r="B1652" s="137"/>
      <c r="E1652" s="138"/>
      <c r="G1652" s="138"/>
      <c r="I1652" s="138"/>
      <c r="M1652" s="139"/>
    </row>
    <row r="1653" spans="1:13" customFormat="1" ht="12.75">
      <c r="A1653" s="136"/>
      <c r="B1653" s="10" t="s">
        <v>861</v>
      </c>
      <c r="D1653" s="140" t="s">
        <v>50</v>
      </c>
      <c r="E1653" s="141">
        <v>3.1219999999999999</v>
      </c>
      <c r="F1653" s="142"/>
      <c r="G1653" s="148"/>
      <c r="H1653" s="142"/>
      <c r="I1653" s="143"/>
      <c r="J1653" s="144"/>
      <c r="K1653" s="144"/>
      <c r="L1653" s="145" t="s">
        <v>50</v>
      </c>
      <c r="M1653" s="146">
        <f>E1653</f>
        <v>3.1219999999999999</v>
      </c>
    </row>
    <row r="1654" spans="1:13" customFormat="1" ht="12.75">
      <c r="A1654" s="136"/>
      <c r="B1654" s="10" t="s">
        <v>548</v>
      </c>
      <c r="E1654" s="138" t="s">
        <v>121</v>
      </c>
      <c r="G1654" s="138"/>
      <c r="I1654" s="138"/>
      <c r="M1654" s="139"/>
    </row>
    <row r="1655" spans="1:13" customFormat="1" ht="12.75">
      <c r="A1655" s="136"/>
      <c r="B1655" s="137"/>
      <c r="E1655" s="138"/>
      <c r="G1655" s="138"/>
      <c r="I1655" s="138"/>
      <c r="M1655" s="139"/>
    </row>
    <row r="1656" spans="1:13" customFormat="1" ht="12.75">
      <c r="A1656" s="136"/>
      <c r="B1656" s="10" t="s">
        <v>577</v>
      </c>
      <c r="D1656" s="140" t="s">
        <v>50</v>
      </c>
      <c r="E1656" s="141">
        <v>3.7519999999999998</v>
      </c>
      <c r="F1656" s="142"/>
      <c r="G1656" s="148"/>
      <c r="H1656" s="142"/>
      <c r="I1656" s="143"/>
      <c r="J1656" s="144"/>
      <c r="K1656" s="144"/>
      <c r="L1656" s="145" t="s">
        <v>50</v>
      </c>
      <c r="M1656" s="146">
        <f>E1656</f>
        <v>3.7519999999999998</v>
      </c>
    </row>
    <row r="1657" spans="1:13" customFormat="1" ht="12.75">
      <c r="A1657" s="136"/>
      <c r="B1657" s="10" t="s">
        <v>548</v>
      </c>
      <c r="E1657" s="138" t="s">
        <v>121</v>
      </c>
      <c r="G1657" s="138"/>
      <c r="I1657" s="138"/>
      <c r="M1657" s="139"/>
    </row>
    <row r="1658" spans="1:13" customFormat="1" ht="12.75">
      <c r="A1658" s="136"/>
      <c r="B1658" s="137"/>
      <c r="E1658" s="138"/>
      <c r="G1658" s="138"/>
      <c r="I1658" s="138"/>
      <c r="M1658" s="139"/>
    </row>
    <row r="1659" spans="1:13" customFormat="1" ht="12.75">
      <c r="A1659" s="136"/>
      <c r="B1659" s="10" t="s">
        <v>576</v>
      </c>
      <c r="D1659" s="140" t="s">
        <v>50</v>
      </c>
      <c r="E1659" s="141">
        <v>3.7519999999999998</v>
      </c>
      <c r="F1659" s="142"/>
      <c r="G1659" s="148"/>
      <c r="H1659" s="142"/>
      <c r="I1659" s="143"/>
      <c r="J1659" s="144"/>
      <c r="K1659" s="144"/>
      <c r="L1659" s="145" t="s">
        <v>50</v>
      </c>
      <c r="M1659" s="146">
        <f>E1659</f>
        <v>3.7519999999999998</v>
      </c>
    </row>
    <row r="1660" spans="1:13" customFormat="1" ht="12.75">
      <c r="A1660" s="136"/>
      <c r="B1660" s="10" t="s">
        <v>548</v>
      </c>
      <c r="E1660" s="138" t="s">
        <v>121</v>
      </c>
      <c r="G1660" s="138"/>
      <c r="I1660" s="138"/>
      <c r="M1660" s="139"/>
    </row>
    <row r="1661" spans="1:13" customFormat="1" ht="12.75">
      <c r="A1661" s="136"/>
      <c r="B1661" s="137"/>
      <c r="E1661" s="138"/>
      <c r="G1661" s="138"/>
      <c r="I1661" s="138"/>
      <c r="M1661" s="139"/>
    </row>
    <row r="1662" spans="1:13" customFormat="1" ht="12.75">
      <c r="A1662" s="136"/>
      <c r="B1662" s="10" t="s">
        <v>578</v>
      </c>
      <c r="D1662" s="140" t="s">
        <v>50</v>
      </c>
      <c r="E1662" s="141">
        <v>2.492</v>
      </c>
      <c r="F1662" s="142"/>
      <c r="G1662" s="148"/>
      <c r="H1662" s="142"/>
      <c r="I1662" s="143"/>
      <c r="J1662" s="144"/>
      <c r="K1662" s="144"/>
      <c r="L1662" s="145" t="s">
        <v>50</v>
      </c>
      <c r="M1662" s="146">
        <f>E1662</f>
        <v>2.492</v>
      </c>
    </row>
    <row r="1663" spans="1:13" customFormat="1" ht="12.75">
      <c r="A1663" s="136"/>
      <c r="B1663" s="10" t="s">
        <v>548</v>
      </c>
      <c r="E1663" s="138" t="s">
        <v>121</v>
      </c>
      <c r="G1663" s="138"/>
      <c r="I1663" s="138"/>
      <c r="M1663" s="139"/>
    </row>
    <row r="1664" spans="1:13" customFormat="1" ht="12.75">
      <c r="A1664" s="136"/>
      <c r="B1664" s="137"/>
      <c r="E1664" s="138"/>
      <c r="G1664" s="138"/>
      <c r="I1664" s="138"/>
      <c r="M1664" s="139"/>
    </row>
    <row r="1665" spans="1:13" customFormat="1" ht="12.75">
      <c r="A1665" s="136"/>
      <c r="B1665" s="10" t="s">
        <v>579</v>
      </c>
      <c r="D1665" s="140" t="s">
        <v>50</v>
      </c>
      <c r="E1665" s="141">
        <v>2.5449999999999999</v>
      </c>
      <c r="F1665" s="142"/>
      <c r="G1665" s="148"/>
      <c r="H1665" s="142"/>
      <c r="I1665" s="143"/>
      <c r="J1665" s="144"/>
      <c r="K1665" s="144"/>
      <c r="L1665" s="145" t="s">
        <v>50</v>
      </c>
      <c r="M1665" s="146">
        <f>E1665</f>
        <v>2.5449999999999999</v>
      </c>
    </row>
    <row r="1666" spans="1:13" customFormat="1" ht="12.75">
      <c r="A1666" s="136"/>
      <c r="B1666" s="10" t="s">
        <v>548</v>
      </c>
      <c r="E1666" s="138" t="s">
        <v>121</v>
      </c>
      <c r="G1666" s="138"/>
      <c r="I1666" s="138"/>
      <c r="M1666" s="139"/>
    </row>
    <row r="1667" spans="1:13" customFormat="1" ht="12.75">
      <c r="A1667" s="136"/>
      <c r="B1667" s="137"/>
      <c r="E1667" s="138"/>
      <c r="G1667" s="138"/>
      <c r="I1667" s="138"/>
      <c r="M1667" s="139"/>
    </row>
    <row r="1668" spans="1:13" customFormat="1" ht="12.75">
      <c r="A1668" s="136"/>
      <c r="B1668" s="10" t="s">
        <v>580</v>
      </c>
      <c r="D1668" s="140" t="s">
        <v>50</v>
      </c>
      <c r="E1668" s="141">
        <v>4.8</v>
      </c>
      <c r="F1668" s="142"/>
      <c r="G1668" s="148"/>
      <c r="H1668" s="142"/>
      <c r="I1668" s="143"/>
      <c r="J1668" s="144"/>
      <c r="K1668" s="144"/>
      <c r="L1668" s="145" t="s">
        <v>50</v>
      </c>
      <c r="M1668" s="146">
        <f>E1668</f>
        <v>4.8</v>
      </c>
    </row>
    <row r="1669" spans="1:13" customFormat="1" ht="12.75">
      <c r="A1669" s="136"/>
      <c r="B1669" s="10" t="s">
        <v>577</v>
      </c>
      <c r="E1669" s="138" t="s">
        <v>121</v>
      </c>
      <c r="G1669" s="138"/>
      <c r="I1669" s="138"/>
      <c r="M1669" s="139"/>
    </row>
    <row r="1670" spans="1:13" customFormat="1" ht="12.75">
      <c r="A1670" s="136"/>
      <c r="B1670" s="137"/>
      <c r="E1670" s="138"/>
      <c r="G1670" s="138"/>
      <c r="I1670" s="138"/>
      <c r="M1670" s="139"/>
    </row>
    <row r="1671" spans="1:13" customFormat="1" ht="12.75">
      <c r="A1671" s="136"/>
      <c r="B1671" s="152" t="s">
        <v>581</v>
      </c>
      <c r="D1671" s="140" t="s">
        <v>50</v>
      </c>
      <c r="E1671" s="141">
        <v>7.53</v>
      </c>
      <c r="F1671" s="142"/>
      <c r="G1671" s="148"/>
      <c r="H1671" s="142"/>
      <c r="I1671" s="143"/>
      <c r="J1671" s="144"/>
      <c r="K1671" s="144"/>
      <c r="L1671" s="145" t="s">
        <v>50</v>
      </c>
      <c r="M1671" s="146">
        <f>E1671</f>
        <v>7.53</v>
      </c>
    </row>
    <row r="1672" spans="1:13" customFormat="1" ht="12.75">
      <c r="A1672" s="136"/>
      <c r="B1672" s="10" t="s">
        <v>616</v>
      </c>
      <c r="E1672" s="138" t="s">
        <v>121</v>
      </c>
      <c r="G1672" s="138"/>
      <c r="I1672" s="138"/>
      <c r="M1672" s="139"/>
    </row>
    <row r="1673" spans="1:13" customFormat="1" ht="12.75">
      <c r="A1673" s="136"/>
      <c r="B1673" s="137"/>
      <c r="E1673" s="138"/>
      <c r="G1673" s="138"/>
      <c r="I1673" s="138"/>
      <c r="M1673" s="139"/>
    </row>
    <row r="1674" spans="1:13" customFormat="1" ht="12.75">
      <c r="A1674" s="136"/>
      <c r="B1674" s="152" t="s">
        <v>582</v>
      </c>
      <c r="D1674" s="140" t="s">
        <v>50</v>
      </c>
      <c r="E1674" s="141">
        <v>8.3019999999999996</v>
      </c>
      <c r="F1674" s="142"/>
      <c r="G1674" s="148"/>
      <c r="H1674" s="142"/>
      <c r="I1674" s="143"/>
      <c r="J1674" s="144"/>
      <c r="K1674" s="144"/>
      <c r="L1674" s="145" t="s">
        <v>50</v>
      </c>
      <c r="M1674" s="146">
        <f>E1674</f>
        <v>8.3019999999999996</v>
      </c>
    </row>
    <row r="1675" spans="1:13" customFormat="1" ht="12.75">
      <c r="A1675" s="136"/>
      <c r="B1675" s="10" t="s">
        <v>548</v>
      </c>
      <c r="E1675" s="138" t="s">
        <v>121</v>
      </c>
      <c r="G1675" s="138"/>
      <c r="I1675" s="138"/>
      <c r="M1675" s="139"/>
    </row>
    <row r="1676" spans="1:13" customFormat="1" ht="12.75">
      <c r="A1676" s="136"/>
      <c r="B1676" s="137"/>
      <c r="E1676" s="138"/>
      <c r="G1676" s="138"/>
      <c r="I1676" s="138"/>
      <c r="M1676" s="139"/>
    </row>
    <row r="1677" spans="1:13" customFormat="1" ht="12.75">
      <c r="A1677" s="136"/>
      <c r="B1677" s="137" t="s">
        <v>583</v>
      </c>
      <c r="D1677" s="140" t="s">
        <v>50</v>
      </c>
      <c r="E1677" s="141">
        <v>8.1430000000000007</v>
      </c>
      <c r="F1677" s="142"/>
      <c r="G1677" s="148"/>
      <c r="H1677" s="142"/>
      <c r="I1677" s="143"/>
      <c r="J1677" s="144"/>
      <c r="K1677" s="144"/>
      <c r="L1677" s="145" t="s">
        <v>50</v>
      </c>
      <c r="M1677" s="146">
        <f>E1677</f>
        <v>8.1430000000000007</v>
      </c>
    </row>
    <row r="1678" spans="1:13" customFormat="1" ht="12.75">
      <c r="A1678" s="136"/>
      <c r="B1678" s="10" t="s">
        <v>548</v>
      </c>
      <c r="E1678" s="138" t="s">
        <v>121</v>
      </c>
      <c r="G1678" s="138"/>
      <c r="I1678" s="138"/>
      <c r="M1678" s="139"/>
    </row>
    <row r="1679" spans="1:13" customFormat="1" ht="12.75">
      <c r="A1679" s="136"/>
      <c r="B1679" s="137"/>
      <c r="E1679" s="138"/>
      <c r="G1679" s="138"/>
      <c r="I1679" s="138"/>
      <c r="M1679" s="139"/>
    </row>
    <row r="1680" spans="1:13" customFormat="1" ht="12.75">
      <c r="A1680" s="136"/>
      <c r="B1680" s="137" t="s">
        <v>584</v>
      </c>
      <c r="D1680" s="140" t="s">
        <v>50</v>
      </c>
      <c r="E1680" s="141">
        <v>9.25</v>
      </c>
      <c r="F1680" s="142"/>
      <c r="G1680" s="148"/>
      <c r="H1680" s="142"/>
      <c r="I1680" s="143"/>
      <c r="J1680" s="144"/>
      <c r="K1680" s="144"/>
      <c r="L1680" s="145" t="s">
        <v>50</v>
      </c>
      <c r="M1680" s="146">
        <f>E1680</f>
        <v>9.25</v>
      </c>
    </row>
    <row r="1681" spans="1:13" customFormat="1" ht="12.75">
      <c r="A1681" s="136"/>
      <c r="B1681" s="10" t="s">
        <v>548</v>
      </c>
      <c r="E1681" s="138" t="s">
        <v>121</v>
      </c>
      <c r="G1681" s="138"/>
      <c r="I1681" s="138"/>
      <c r="M1681" s="139"/>
    </row>
    <row r="1682" spans="1:13" customFormat="1" ht="12.75">
      <c r="A1682" s="136"/>
      <c r="B1682" s="137"/>
      <c r="E1682" s="138"/>
      <c r="G1682" s="138"/>
      <c r="I1682" s="138"/>
      <c r="M1682" s="139"/>
    </row>
    <row r="1683" spans="1:13" customFormat="1" ht="12.75">
      <c r="A1683" s="136"/>
      <c r="B1683" s="137" t="s">
        <v>585</v>
      </c>
      <c r="D1683" s="140" t="s">
        <v>50</v>
      </c>
      <c r="E1683" s="141">
        <v>9</v>
      </c>
      <c r="F1683" s="142"/>
      <c r="G1683" s="148"/>
      <c r="H1683" s="142"/>
      <c r="I1683" s="143"/>
      <c r="J1683" s="144"/>
      <c r="K1683" s="144"/>
      <c r="L1683" s="145" t="s">
        <v>50</v>
      </c>
      <c r="M1683" s="146">
        <f>E1683</f>
        <v>9</v>
      </c>
    </row>
    <row r="1684" spans="1:13" customFormat="1" ht="12.75">
      <c r="A1684" s="136"/>
      <c r="B1684" s="10" t="s">
        <v>548</v>
      </c>
      <c r="E1684" s="138" t="s">
        <v>121</v>
      </c>
      <c r="G1684" s="138"/>
      <c r="I1684" s="138"/>
      <c r="M1684" s="139"/>
    </row>
    <row r="1685" spans="1:13" customFormat="1" ht="12.75">
      <c r="A1685" s="136"/>
      <c r="B1685" s="137"/>
      <c r="E1685" s="138"/>
      <c r="G1685" s="138"/>
      <c r="I1685" s="138"/>
      <c r="M1685" s="139"/>
    </row>
    <row r="1686" spans="1:13" customFormat="1" ht="12.75">
      <c r="A1686" s="136"/>
      <c r="B1686" s="137" t="s">
        <v>586</v>
      </c>
      <c r="D1686" s="140" t="s">
        <v>50</v>
      </c>
      <c r="E1686" s="141">
        <v>9.1750000000000007</v>
      </c>
      <c r="F1686" s="142"/>
      <c r="G1686" s="148"/>
      <c r="H1686" s="142"/>
      <c r="I1686" s="143"/>
      <c r="J1686" s="144"/>
      <c r="K1686" s="144"/>
      <c r="L1686" s="145" t="s">
        <v>50</v>
      </c>
      <c r="M1686" s="146">
        <f>E1686</f>
        <v>9.1750000000000007</v>
      </c>
    </row>
    <row r="1687" spans="1:13" customFormat="1" ht="12.75">
      <c r="A1687" s="136"/>
      <c r="B1687" s="10" t="s">
        <v>548</v>
      </c>
      <c r="E1687" s="138" t="s">
        <v>121</v>
      </c>
      <c r="G1687" s="138"/>
      <c r="I1687" s="138"/>
      <c r="M1687" s="139"/>
    </row>
    <row r="1688" spans="1:13" customFormat="1" ht="12.75">
      <c r="A1688" s="136"/>
      <c r="B1688" s="137"/>
      <c r="E1688" s="138"/>
      <c r="G1688" s="138"/>
      <c r="I1688" s="138"/>
      <c r="M1688" s="139"/>
    </row>
    <row r="1689" spans="1:13" customFormat="1" ht="12.75">
      <c r="A1689" s="136"/>
      <c r="B1689" s="137" t="s">
        <v>587</v>
      </c>
      <c r="D1689" s="140" t="s">
        <v>50</v>
      </c>
      <c r="E1689" s="141">
        <v>9.0649999999999995</v>
      </c>
      <c r="F1689" s="142"/>
      <c r="G1689" s="148"/>
      <c r="H1689" s="142"/>
      <c r="I1689" s="143"/>
      <c r="J1689" s="144"/>
      <c r="K1689" s="144"/>
      <c r="L1689" s="145" t="s">
        <v>50</v>
      </c>
      <c r="M1689" s="146">
        <f>E1689</f>
        <v>9.0649999999999995</v>
      </c>
    </row>
    <row r="1690" spans="1:13" customFormat="1" ht="12.75">
      <c r="A1690" s="136"/>
      <c r="B1690" s="10" t="s">
        <v>548</v>
      </c>
      <c r="E1690" s="138" t="s">
        <v>121</v>
      </c>
      <c r="G1690" s="138"/>
      <c r="I1690" s="138"/>
      <c r="M1690" s="139"/>
    </row>
    <row r="1691" spans="1:13" customFormat="1" ht="12.75">
      <c r="A1691" s="136"/>
      <c r="B1691" s="137"/>
      <c r="E1691" s="138"/>
      <c r="G1691" s="138"/>
      <c r="I1691" s="138"/>
      <c r="M1691" s="139"/>
    </row>
    <row r="1692" spans="1:13" customFormat="1" ht="12.75">
      <c r="A1692" s="136"/>
      <c r="B1692" s="137" t="s">
        <v>588</v>
      </c>
      <c r="D1692" s="140" t="s">
        <v>50</v>
      </c>
      <c r="E1692" s="141">
        <v>5.17</v>
      </c>
      <c r="F1692" s="142"/>
      <c r="G1692" s="148"/>
      <c r="H1692" s="142"/>
      <c r="I1692" s="143"/>
      <c r="J1692" s="144"/>
      <c r="K1692" s="144"/>
      <c r="L1692" s="145" t="s">
        <v>50</v>
      </c>
      <c r="M1692" s="146">
        <f>E1692</f>
        <v>5.17</v>
      </c>
    </row>
    <row r="1693" spans="1:13" customFormat="1" ht="12.75">
      <c r="A1693" s="136"/>
      <c r="B1693" s="10" t="s">
        <v>548</v>
      </c>
      <c r="E1693" s="138" t="s">
        <v>121</v>
      </c>
      <c r="G1693" s="138"/>
      <c r="I1693" s="138"/>
      <c r="M1693" s="139"/>
    </row>
    <row r="1694" spans="1:13" customFormat="1" ht="12.75">
      <c r="A1694" s="136"/>
      <c r="B1694" s="137"/>
      <c r="E1694" s="138"/>
      <c r="G1694" s="138"/>
      <c r="I1694" s="138"/>
      <c r="M1694" s="139"/>
    </row>
    <row r="1695" spans="1:13" customFormat="1" ht="12.75">
      <c r="A1695" s="136"/>
      <c r="B1695" s="152" t="s">
        <v>591</v>
      </c>
      <c r="D1695" s="140" t="s">
        <v>50</v>
      </c>
      <c r="E1695" s="141">
        <v>29.73</v>
      </c>
      <c r="F1695" s="142"/>
      <c r="G1695" s="148"/>
      <c r="H1695" s="142"/>
      <c r="I1695" s="143"/>
      <c r="J1695" s="144"/>
      <c r="K1695" s="144"/>
      <c r="L1695" s="145" t="s">
        <v>50</v>
      </c>
      <c r="M1695" s="146">
        <f>E1695</f>
        <v>29.73</v>
      </c>
    </row>
    <row r="1696" spans="1:13" customFormat="1" ht="12.75">
      <c r="A1696" s="136"/>
      <c r="B1696" s="10" t="s">
        <v>548</v>
      </c>
      <c r="E1696" s="138" t="s">
        <v>121</v>
      </c>
      <c r="G1696" s="138"/>
      <c r="I1696" s="138"/>
      <c r="M1696" s="139"/>
    </row>
    <row r="1697" spans="1:13" customFormat="1" ht="12.75">
      <c r="A1697" s="136"/>
      <c r="B1697" s="137"/>
      <c r="E1697" s="138"/>
      <c r="G1697" s="138"/>
      <c r="I1697" s="138"/>
      <c r="M1697" s="139"/>
    </row>
    <row r="1698" spans="1:13" customFormat="1" ht="12.75">
      <c r="A1698" s="136"/>
      <c r="B1698" s="152" t="s">
        <v>590</v>
      </c>
      <c r="D1698" s="140" t="s">
        <v>50</v>
      </c>
      <c r="E1698" s="141">
        <v>19.809000000000001</v>
      </c>
      <c r="F1698" s="142"/>
      <c r="G1698" s="148"/>
      <c r="H1698" s="142"/>
      <c r="I1698" s="143"/>
      <c r="J1698" s="144"/>
      <c r="K1698" s="144"/>
      <c r="L1698" s="145" t="s">
        <v>50</v>
      </c>
      <c r="M1698" s="146">
        <f>E1698</f>
        <v>19.809000000000001</v>
      </c>
    </row>
    <row r="1699" spans="1:13" customFormat="1" ht="12.75">
      <c r="A1699" s="136"/>
      <c r="B1699" s="10" t="s">
        <v>548</v>
      </c>
      <c r="E1699" s="138" t="s">
        <v>121</v>
      </c>
      <c r="G1699" s="138"/>
      <c r="I1699" s="138"/>
      <c r="M1699" s="139"/>
    </row>
    <row r="1700" spans="1:13" customFormat="1" ht="12.75">
      <c r="A1700" s="136"/>
      <c r="B1700" s="137"/>
      <c r="E1700" s="138"/>
      <c r="G1700" s="138"/>
      <c r="I1700" s="138"/>
      <c r="M1700" s="139"/>
    </row>
    <row r="1701" spans="1:13" customFormat="1" ht="12.75">
      <c r="A1701" s="136"/>
      <c r="B1701" s="152" t="s">
        <v>589</v>
      </c>
      <c r="D1701" s="140" t="s">
        <v>50</v>
      </c>
      <c r="E1701" s="141">
        <v>35.71</v>
      </c>
      <c r="F1701" s="142"/>
      <c r="G1701" s="148"/>
      <c r="H1701" s="142"/>
      <c r="I1701" s="143"/>
      <c r="J1701" s="144"/>
      <c r="K1701" s="144"/>
      <c r="L1701" s="145" t="s">
        <v>50</v>
      </c>
      <c r="M1701" s="146">
        <f>E1701</f>
        <v>35.71</v>
      </c>
    </row>
    <row r="1702" spans="1:13" customFormat="1" ht="12.75">
      <c r="A1702" s="136"/>
      <c r="B1702" s="10" t="s">
        <v>548</v>
      </c>
      <c r="E1702" s="138" t="s">
        <v>121</v>
      </c>
      <c r="G1702" s="138"/>
      <c r="I1702" s="138"/>
      <c r="M1702" s="139"/>
    </row>
    <row r="1703" spans="1:13" customFormat="1" ht="12.75">
      <c r="A1703" s="136"/>
      <c r="B1703" s="137"/>
      <c r="E1703" s="138"/>
      <c r="G1703" s="138"/>
      <c r="I1703" s="138"/>
      <c r="M1703" s="139"/>
    </row>
    <row r="1704" spans="1:13" customFormat="1" ht="12.75">
      <c r="A1704" s="136"/>
      <c r="B1704" s="137" t="s">
        <v>593</v>
      </c>
      <c r="D1704" s="140" t="s">
        <v>50</v>
      </c>
      <c r="E1704" s="141">
        <v>18.422000000000001</v>
      </c>
      <c r="F1704" s="142"/>
      <c r="G1704" s="148"/>
      <c r="H1704" s="142"/>
      <c r="I1704" s="143"/>
      <c r="J1704" s="144"/>
      <c r="K1704" s="144"/>
      <c r="L1704" s="145" t="s">
        <v>50</v>
      </c>
      <c r="M1704" s="146">
        <f>E1704</f>
        <v>18.422000000000001</v>
      </c>
    </row>
    <row r="1705" spans="1:13" customFormat="1" ht="12.75">
      <c r="A1705" s="136"/>
      <c r="B1705" s="10" t="s">
        <v>548</v>
      </c>
      <c r="E1705" s="138" t="s">
        <v>121</v>
      </c>
      <c r="G1705" s="138"/>
      <c r="I1705" s="138"/>
      <c r="M1705" s="139"/>
    </row>
    <row r="1706" spans="1:13" customFormat="1" ht="12.75">
      <c r="A1706" s="136"/>
      <c r="B1706" s="137"/>
      <c r="E1706" s="138"/>
      <c r="G1706" s="138"/>
      <c r="I1706" s="138"/>
      <c r="M1706" s="139"/>
    </row>
    <row r="1707" spans="1:13" customFormat="1" ht="12.75">
      <c r="A1707" s="136"/>
      <c r="B1707" s="137" t="s">
        <v>594</v>
      </c>
      <c r="D1707" s="140" t="s">
        <v>50</v>
      </c>
      <c r="E1707" s="141">
        <v>19.337</v>
      </c>
      <c r="F1707" s="142"/>
      <c r="G1707" s="148"/>
      <c r="H1707" s="142"/>
      <c r="I1707" s="143"/>
      <c r="J1707" s="144"/>
      <c r="K1707" s="144"/>
      <c r="L1707" s="145" t="s">
        <v>50</v>
      </c>
      <c r="M1707" s="146">
        <f>E1707</f>
        <v>19.337</v>
      </c>
    </row>
    <row r="1708" spans="1:13" customFormat="1" ht="12.75">
      <c r="A1708" s="136"/>
      <c r="B1708" s="10" t="s">
        <v>548</v>
      </c>
      <c r="E1708" s="138" t="s">
        <v>121</v>
      </c>
      <c r="G1708" s="138"/>
      <c r="I1708" s="138"/>
      <c r="M1708" s="139"/>
    </row>
    <row r="1709" spans="1:13" customFormat="1" ht="12.75">
      <c r="A1709" s="136"/>
      <c r="B1709" s="137"/>
      <c r="E1709" s="138"/>
      <c r="G1709" s="138"/>
      <c r="I1709" s="138"/>
      <c r="M1709" s="139"/>
    </row>
    <row r="1710" spans="1:13" customFormat="1" ht="12.75">
      <c r="A1710" s="136"/>
      <c r="B1710" s="137" t="s">
        <v>592</v>
      </c>
      <c r="D1710" s="140" t="s">
        <v>50</v>
      </c>
      <c r="E1710" s="141">
        <v>10.55</v>
      </c>
      <c r="F1710" s="142"/>
      <c r="G1710" s="148"/>
      <c r="H1710" s="142"/>
      <c r="I1710" s="143"/>
      <c r="J1710" s="144"/>
      <c r="K1710" s="144"/>
      <c r="L1710" s="145" t="s">
        <v>50</v>
      </c>
      <c r="M1710" s="146">
        <f>E1710</f>
        <v>10.55</v>
      </c>
    </row>
    <row r="1711" spans="1:13" customFormat="1" ht="12.75">
      <c r="A1711" s="136"/>
      <c r="B1711" s="10" t="s">
        <v>548</v>
      </c>
      <c r="E1711" s="138" t="s">
        <v>121</v>
      </c>
      <c r="G1711" s="138"/>
      <c r="I1711" s="138"/>
      <c r="M1711" s="139"/>
    </row>
    <row r="1712" spans="1:13" customFormat="1" ht="12.75">
      <c r="A1712" s="136"/>
      <c r="B1712" s="137"/>
      <c r="E1712" s="138"/>
      <c r="G1712" s="138"/>
      <c r="I1712" s="138"/>
      <c r="M1712" s="139"/>
    </row>
    <row r="1713" spans="1:28" customFormat="1" ht="12.75">
      <c r="A1713" s="136"/>
      <c r="B1713" s="137" t="s">
        <v>595</v>
      </c>
      <c r="D1713" s="140" t="s">
        <v>50</v>
      </c>
      <c r="E1713" s="141">
        <v>18.696000000000002</v>
      </c>
      <c r="F1713" s="142"/>
      <c r="G1713" s="148"/>
      <c r="H1713" s="142"/>
      <c r="I1713" s="143"/>
      <c r="J1713" s="144"/>
      <c r="K1713" s="144"/>
      <c r="L1713" s="145" t="s">
        <v>50</v>
      </c>
      <c r="M1713" s="146">
        <f>E1713</f>
        <v>18.696000000000002</v>
      </c>
    </row>
    <row r="1714" spans="1:28" customFormat="1" ht="12.75">
      <c r="A1714" s="136"/>
      <c r="B1714" s="10" t="s">
        <v>548</v>
      </c>
      <c r="E1714" s="138" t="s">
        <v>121</v>
      </c>
      <c r="G1714" s="138"/>
      <c r="I1714" s="138"/>
      <c r="M1714" s="139"/>
    </row>
    <row r="1715" spans="1:28" customFormat="1" ht="12.75">
      <c r="A1715" s="136"/>
      <c r="B1715" s="137"/>
      <c r="E1715" s="138"/>
      <c r="G1715" s="138"/>
      <c r="I1715" s="138"/>
      <c r="M1715" s="139"/>
    </row>
    <row r="1716" spans="1:28" customFormat="1" ht="12.75">
      <c r="A1716" s="136"/>
      <c r="B1716" s="137" t="s">
        <v>596</v>
      </c>
      <c r="D1716" s="140" t="s">
        <v>50</v>
      </c>
      <c r="E1716" s="141">
        <v>22.225000000000001</v>
      </c>
      <c r="F1716" s="142"/>
      <c r="G1716" s="148"/>
      <c r="H1716" s="142"/>
      <c r="I1716" s="143"/>
      <c r="J1716" s="144"/>
      <c r="K1716" s="144"/>
      <c r="L1716" s="145" t="s">
        <v>50</v>
      </c>
      <c r="M1716" s="146">
        <f>E1716</f>
        <v>22.225000000000001</v>
      </c>
    </row>
    <row r="1717" spans="1:28" customFormat="1" ht="12.75">
      <c r="A1717" s="136"/>
      <c r="B1717" s="10" t="s">
        <v>548</v>
      </c>
      <c r="E1717" s="138" t="s">
        <v>121</v>
      </c>
      <c r="G1717" s="138"/>
      <c r="I1717" s="138"/>
      <c r="M1717" s="139"/>
    </row>
    <row r="1718" spans="1:28" customFormat="1" ht="12.75">
      <c r="A1718" s="136"/>
      <c r="B1718" s="137"/>
      <c r="E1718" s="138"/>
      <c r="G1718" s="138"/>
      <c r="I1718" s="138"/>
      <c r="M1718" s="139"/>
    </row>
    <row r="1719" spans="1:28" customFormat="1" ht="12.75">
      <c r="A1719" s="136"/>
      <c r="B1719" s="137" t="s">
        <v>597</v>
      </c>
      <c r="D1719" s="140" t="s">
        <v>50</v>
      </c>
      <c r="E1719" s="141">
        <v>36.561999999999998</v>
      </c>
      <c r="F1719" s="142"/>
      <c r="G1719" s="148"/>
      <c r="H1719" s="142"/>
      <c r="I1719" s="143"/>
      <c r="J1719" s="144"/>
      <c r="K1719" s="144"/>
      <c r="L1719" s="145" t="s">
        <v>50</v>
      </c>
      <c r="M1719" s="146">
        <f>E1719</f>
        <v>36.561999999999998</v>
      </c>
    </row>
    <row r="1720" spans="1:28" customFormat="1" ht="12.75">
      <c r="A1720" s="136"/>
      <c r="B1720" s="10" t="s">
        <v>577</v>
      </c>
      <c r="E1720" s="138" t="s">
        <v>121</v>
      </c>
      <c r="G1720" s="138"/>
      <c r="I1720" s="138"/>
      <c r="M1720" s="139"/>
    </row>
    <row r="1721" spans="1:28" customFormat="1" ht="12.75">
      <c r="A1721" s="136"/>
      <c r="B1721" s="137"/>
      <c r="E1721" s="138"/>
      <c r="G1721" s="138"/>
      <c r="I1721" s="138"/>
      <c r="M1721" s="139"/>
    </row>
    <row r="1722" spans="1:28" customFormat="1" ht="12.75">
      <c r="A1722" s="136"/>
      <c r="B1722" s="137" t="s">
        <v>406</v>
      </c>
      <c r="D1722" s="140" t="s">
        <v>50</v>
      </c>
      <c r="E1722" s="141">
        <v>30.187000000000001</v>
      </c>
      <c r="F1722" s="142"/>
      <c r="G1722" s="148"/>
      <c r="H1722" s="142"/>
      <c r="I1722" s="143"/>
      <c r="J1722" s="144"/>
      <c r="K1722" s="144"/>
      <c r="L1722" s="145" t="s">
        <v>50</v>
      </c>
      <c r="M1722" s="146">
        <f>E1722</f>
        <v>30.187000000000001</v>
      </c>
    </row>
    <row r="1723" spans="1:28" customFormat="1" ht="12.75">
      <c r="A1723" s="136"/>
      <c r="B1723" s="10" t="s">
        <v>616</v>
      </c>
      <c r="E1723" s="138" t="s">
        <v>121</v>
      </c>
      <c r="G1723" s="138"/>
      <c r="I1723" s="138"/>
      <c r="M1723" s="139"/>
    </row>
    <row r="1724" spans="1:28" customFormat="1" ht="12.75">
      <c r="A1724" s="136"/>
      <c r="B1724" s="137"/>
      <c r="E1724" s="138"/>
      <c r="G1724" s="138"/>
      <c r="I1724" s="138"/>
      <c r="M1724" s="139"/>
    </row>
    <row r="1725" spans="1:28" s="161" customFormat="1" ht="12.75">
      <c r="A1725" s="163"/>
      <c r="B1725" s="161" t="s">
        <v>10</v>
      </c>
      <c r="E1725" s="161" t="s">
        <v>149</v>
      </c>
      <c r="H1725" s="164"/>
      <c r="I1725" s="165" t="s">
        <v>265</v>
      </c>
      <c r="L1725" s="162" t="s">
        <v>50</v>
      </c>
      <c r="M1725" s="46">
        <f>SUM(M1629:M1722)</f>
        <v>374.13000000000005</v>
      </c>
    </row>
    <row r="1726" spans="1:28" customFormat="1" ht="12.75">
      <c r="A1726" s="147"/>
      <c r="B1726" s="137"/>
      <c r="E1726" s="138"/>
      <c r="G1726" s="138"/>
      <c r="I1726" s="138"/>
      <c r="M1726" s="139"/>
      <c r="Q1726" s="137"/>
      <c r="S1726" s="140"/>
      <c r="T1726" s="148"/>
      <c r="U1726" s="142"/>
      <c r="V1726" s="148"/>
      <c r="Y1726" s="144"/>
      <c r="Z1726" s="144"/>
      <c r="AA1726" s="145"/>
      <c r="AB1726" s="148"/>
    </row>
    <row r="1727" spans="1:28" s="258" customFormat="1" ht="35.25" customHeight="1">
      <c r="A1727" s="254" t="str">
        <f>ORÇAMENTO!A223</f>
        <v>14.10</v>
      </c>
      <c r="B1727" s="255"/>
      <c r="C1727" s="383" t="str">
        <f>ORÇAMENTO!D223</f>
        <v>SOLEIRA EM GRANITO, NA COR CINZA ANDORINHA, ESP. 2CM, INCLUSIVE REJUNTAMENTO</v>
      </c>
      <c r="D1727" s="383"/>
      <c r="E1727" s="383"/>
      <c r="F1727" s="383"/>
      <c r="G1727" s="383"/>
      <c r="H1727" s="383"/>
      <c r="I1727" s="383"/>
      <c r="J1727" s="383"/>
      <c r="K1727" s="383"/>
      <c r="L1727" s="383"/>
      <c r="M1727" s="108" t="str">
        <f>ORÇAMENTO!E223</f>
        <v>M2</v>
      </c>
    </row>
    <row r="1728" spans="1:28" s="10" customFormat="1" ht="12.75">
      <c r="A1728" s="11"/>
      <c r="M1728" s="12"/>
    </row>
    <row r="1729" spans="1:13" s="10" customFormat="1" ht="12.75">
      <c r="A1729" s="11"/>
      <c r="B1729" s="10" t="s">
        <v>864</v>
      </c>
      <c r="D1729" s="88" t="s">
        <v>50</v>
      </c>
      <c r="E1729" s="89">
        <f>(0.025+1.8+0.025)</f>
        <v>1.8499999999999999</v>
      </c>
      <c r="F1729" s="257" t="s">
        <v>69</v>
      </c>
      <c r="G1729" s="89">
        <v>0.15</v>
      </c>
      <c r="H1729" s="257" t="s">
        <v>69</v>
      </c>
      <c r="I1729" s="89">
        <v>1</v>
      </c>
      <c r="L1729" s="93" t="s">
        <v>50</v>
      </c>
      <c r="M1729" s="13">
        <f>E1729*G1729*I1729</f>
        <v>0.27749999999999997</v>
      </c>
    </row>
    <row r="1730" spans="1:13" s="10" customFormat="1" ht="12.75">
      <c r="A1730" s="11"/>
      <c r="B1730" s="10" t="s">
        <v>645</v>
      </c>
      <c r="E1730" s="99" t="s">
        <v>56</v>
      </c>
      <c r="G1730" s="99" t="s">
        <v>267</v>
      </c>
      <c r="I1730" s="99" t="s">
        <v>291</v>
      </c>
      <c r="M1730" s="12"/>
    </row>
    <row r="1731" spans="1:13" s="10" customFormat="1" ht="12.75">
      <c r="A1731" s="11"/>
      <c r="M1731" s="12"/>
    </row>
    <row r="1732" spans="1:13" s="10" customFormat="1" ht="12.75">
      <c r="A1732" s="11"/>
      <c r="B1732" s="10" t="s">
        <v>865</v>
      </c>
      <c r="D1732" s="88" t="s">
        <v>50</v>
      </c>
      <c r="E1732" s="89">
        <f>(0.025+1+0.025)</f>
        <v>1.0499999999999998</v>
      </c>
      <c r="F1732" s="90" t="s">
        <v>69</v>
      </c>
      <c r="G1732" s="89">
        <v>0.15</v>
      </c>
      <c r="H1732" s="90" t="s">
        <v>69</v>
      </c>
      <c r="I1732" s="89">
        <v>1</v>
      </c>
      <c r="L1732" s="93" t="s">
        <v>50</v>
      </c>
      <c r="M1732" s="13">
        <f>E1732*G1732*I1732</f>
        <v>0.15749999999999997</v>
      </c>
    </row>
    <row r="1733" spans="1:13" s="10" customFormat="1" ht="12.75">
      <c r="A1733" s="11"/>
      <c r="B1733" s="10" t="s">
        <v>645</v>
      </c>
      <c r="E1733" s="99" t="s">
        <v>56</v>
      </c>
      <c r="G1733" s="99" t="s">
        <v>267</v>
      </c>
      <c r="I1733" s="99" t="s">
        <v>291</v>
      </c>
      <c r="M1733" s="12"/>
    </row>
    <row r="1734" spans="1:13" s="10" customFormat="1" ht="12.75">
      <c r="A1734" s="11"/>
      <c r="M1734" s="12"/>
    </row>
    <row r="1735" spans="1:13" s="10" customFormat="1" ht="12.75">
      <c r="A1735" s="11"/>
      <c r="B1735" s="10" t="s">
        <v>642</v>
      </c>
      <c r="D1735" s="88" t="s">
        <v>50</v>
      </c>
      <c r="E1735" s="89">
        <f>(0.025+0.7+0.025)</f>
        <v>0.75</v>
      </c>
      <c r="F1735" s="257" t="s">
        <v>69</v>
      </c>
      <c r="G1735" s="89">
        <v>0.15</v>
      </c>
      <c r="H1735" s="257" t="s">
        <v>69</v>
      </c>
      <c r="I1735" s="89">
        <v>1</v>
      </c>
      <c r="L1735" s="93" t="s">
        <v>50</v>
      </c>
      <c r="M1735" s="13">
        <f>E1735*G1735*I1735</f>
        <v>0.11249999999999999</v>
      </c>
    </row>
    <row r="1736" spans="1:13" s="10" customFormat="1" ht="12.75">
      <c r="A1736" s="11"/>
      <c r="B1736" s="10" t="s">
        <v>645</v>
      </c>
      <c r="E1736" s="99" t="s">
        <v>56</v>
      </c>
      <c r="G1736" s="99" t="s">
        <v>267</v>
      </c>
      <c r="I1736" s="99" t="s">
        <v>291</v>
      </c>
      <c r="M1736" s="12"/>
    </row>
    <row r="1737" spans="1:13" s="10" customFormat="1" ht="12.75">
      <c r="A1737" s="11"/>
      <c r="M1737" s="12"/>
    </row>
    <row r="1738" spans="1:13" s="10" customFormat="1" ht="12.75">
      <c r="A1738" s="11"/>
      <c r="B1738" s="10" t="s">
        <v>599</v>
      </c>
      <c r="D1738" s="88" t="s">
        <v>50</v>
      </c>
      <c r="E1738" s="89">
        <f>(0.025+0.8+0.025)</f>
        <v>0.85000000000000009</v>
      </c>
      <c r="F1738" s="257" t="s">
        <v>69</v>
      </c>
      <c r="G1738" s="89">
        <v>0.15</v>
      </c>
      <c r="H1738" s="257" t="s">
        <v>69</v>
      </c>
      <c r="I1738" s="89">
        <v>1</v>
      </c>
      <c r="L1738" s="93" t="s">
        <v>50</v>
      </c>
      <c r="M1738" s="13">
        <f>E1738*G1738*I1738</f>
        <v>0.1275</v>
      </c>
    </row>
    <row r="1739" spans="1:13" s="10" customFormat="1" ht="12.75">
      <c r="A1739" s="11"/>
      <c r="B1739" s="10" t="s">
        <v>645</v>
      </c>
      <c r="E1739" s="99" t="s">
        <v>56</v>
      </c>
      <c r="G1739" s="99" t="s">
        <v>267</v>
      </c>
      <c r="I1739" s="99" t="s">
        <v>291</v>
      </c>
      <c r="M1739" s="12"/>
    </row>
    <row r="1740" spans="1:13" s="10" customFormat="1" ht="12.75">
      <c r="A1740" s="11"/>
      <c r="M1740" s="12"/>
    </row>
    <row r="1741" spans="1:13" s="10" customFormat="1" ht="12.75">
      <c r="A1741" s="11"/>
      <c r="B1741" s="10" t="s">
        <v>600</v>
      </c>
      <c r="D1741" s="88" t="s">
        <v>50</v>
      </c>
      <c r="E1741" s="89">
        <f>(0.025+0.8+0.025)</f>
        <v>0.85000000000000009</v>
      </c>
      <c r="F1741" s="90" t="s">
        <v>69</v>
      </c>
      <c r="G1741" s="89">
        <v>0.15</v>
      </c>
      <c r="H1741" s="90" t="s">
        <v>69</v>
      </c>
      <c r="I1741" s="89">
        <v>1</v>
      </c>
      <c r="L1741" s="93" t="s">
        <v>50</v>
      </c>
      <c r="M1741" s="13">
        <f>E1741*G1741*I1741</f>
        <v>0.1275</v>
      </c>
    </row>
    <row r="1742" spans="1:13" s="10" customFormat="1" ht="12.75">
      <c r="A1742" s="11"/>
      <c r="B1742" s="10" t="s">
        <v>548</v>
      </c>
      <c r="E1742" s="99" t="s">
        <v>56</v>
      </c>
      <c r="G1742" s="99" t="s">
        <v>267</v>
      </c>
      <c r="I1742" s="99" t="s">
        <v>291</v>
      </c>
      <c r="M1742" s="12"/>
    </row>
    <row r="1743" spans="1:13" s="10" customFormat="1" ht="12.75">
      <c r="A1743" s="11"/>
      <c r="M1743" s="12"/>
    </row>
    <row r="1744" spans="1:13" s="10" customFormat="1" ht="12.75">
      <c r="A1744" s="11"/>
      <c r="B1744" s="10" t="s">
        <v>601</v>
      </c>
      <c r="D1744" s="88" t="s">
        <v>50</v>
      </c>
      <c r="E1744" s="89">
        <v>1.0489999999999999</v>
      </c>
      <c r="F1744" s="211" t="s">
        <v>69</v>
      </c>
      <c r="G1744" s="89">
        <v>0.15</v>
      </c>
      <c r="H1744" s="211" t="s">
        <v>69</v>
      </c>
      <c r="I1744" s="89">
        <v>1</v>
      </c>
      <c r="L1744" s="93" t="s">
        <v>50</v>
      </c>
      <c r="M1744" s="13">
        <f>E1744*G1744*I1744</f>
        <v>0.15734999999999999</v>
      </c>
    </row>
    <row r="1745" spans="1:13" s="10" customFormat="1" ht="12.75">
      <c r="A1745" s="11"/>
      <c r="B1745" s="10" t="s">
        <v>548</v>
      </c>
      <c r="E1745" s="99" t="s">
        <v>56</v>
      </c>
      <c r="G1745" s="99" t="s">
        <v>267</v>
      </c>
      <c r="I1745" s="99" t="s">
        <v>291</v>
      </c>
      <c r="M1745" s="12"/>
    </row>
    <row r="1746" spans="1:13" s="10" customFormat="1" ht="12.75">
      <c r="A1746" s="11"/>
      <c r="M1746" s="12"/>
    </row>
    <row r="1747" spans="1:13" s="10" customFormat="1" ht="12.75">
      <c r="A1747" s="11"/>
      <c r="B1747" s="10" t="s">
        <v>602</v>
      </c>
      <c r="D1747" s="88" t="s">
        <v>50</v>
      </c>
      <c r="E1747" s="89">
        <f>(0.025+0.8+0.025)</f>
        <v>0.85000000000000009</v>
      </c>
      <c r="F1747" s="211" t="s">
        <v>69</v>
      </c>
      <c r="G1747" s="89">
        <v>0.15</v>
      </c>
      <c r="H1747" s="211" t="s">
        <v>69</v>
      </c>
      <c r="I1747" s="89">
        <v>1</v>
      </c>
      <c r="L1747" s="93" t="s">
        <v>50</v>
      </c>
      <c r="M1747" s="13">
        <f>E1747*G1747*I1747</f>
        <v>0.1275</v>
      </c>
    </row>
    <row r="1748" spans="1:13" s="10" customFormat="1" ht="12.75">
      <c r="A1748" s="11"/>
      <c r="B1748" s="10" t="s">
        <v>548</v>
      </c>
      <c r="E1748" s="99" t="s">
        <v>56</v>
      </c>
      <c r="G1748" s="99" t="s">
        <v>267</v>
      </c>
      <c r="I1748" s="99" t="s">
        <v>291</v>
      </c>
      <c r="M1748" s="12"/>
    </row>
    <row r="1749" spans="1:13" s="10" customFormat="1" ht="12.75">
      <c r="A1749" s="11"/>
      <c r="M1749" s="12"/>
    </row>
    <row r="1750" spans="1:13" s="10" customFormat="1" ht="12.75">
      <c r="A1750" s="11"/>
      <c r="B1750" s="10" t="s">
        <v>603</v>
      </c>
      <c r="D1750" s="88" t="s">
        <v>50</v>
      </c>
      <c r="E1750" s="89">
        <f>(0.025+0.7+0.025)</f>
        <v>0.75</v>
      </c>
      <c r="F1750" s="211" t="s">
        <v>69</v>
      </c>
      <c r="G1750" s="89">
        <v>0.15</v>
      </c>
      <c r="H1750" s="211" t="s">
        <v>69</v>
      </c>
      <c r="I1750" s="89">
        <v>1</v>
      </c>
      <c r="L1750" s="93" t="s">
        <v>50</v>
      </c>
      <c r="M1750" s="13">
        <f>E1750*G1750*I1750</f>
        <v>0.11249999999999999</v>
      </c>
    </row>
    <row r="1751" spans="1:13" s="10" customFormat="1" ht="12.75">
      <c r="A1751" s="11"/>
      <c r="B1751" s="10" t="s">
        <v>548</v>
      </c>
      <c r="E1751" s="99" t="s">
        <v>56</v>
      </c>
      <c r="G1751" s="99" t="s">
        <v>267</v>
      </c>
      <c r="I1751" s="99" t="s">
        <v>291</v>
      </c>
      <c r="M1751" s="12"/>
    </row>
    <row r="1752" spans="1:13" s="10" customFormat="1" ht="12.75">
      <c r="A1752" s="11"/>
      <c r="M1752" s="12"/>
    </row>
    <row r="1753" spans="1:13" s="10" customFormat="1" ht="12.75">
      <c r="A1753" s="11"/>
      <c r="B1753" s="10" t="s">
        <v>589</v>
      </c>
      <c r="D1753" s="88" t="s">
        <v>50</v>
      </c>
      <c r="E1753" s="89">
        <f>(0.025+2.93+0.025)</f>
        <v>2.98</v>
      </c>
      <c r="F1753" s="257" t="s">
        <v>69</v>
      </c>
      <c r="G1753" s="89">
        <v>0.15</v>
      </c>
      <c r="H1753" s="257" t="s">
        <v>69</v>
      </c>
      <c r="I1753" s="89">
        <v>1</v>
      </c>
      <c r="L1753" s="93" t="s">
        <v>50</v>
      </c>
      <c r="M1753" s="13">
        <f>E1753*G1753*I1753</f>
        <v>0.44700000000000001</v>
      </c>
    </row>
    <row r="1754" spans="1:13" s="10" customFormat="1" ht="12.75">
      <c r="A1754" s="11"/>
      <c r="B1754" s="10" t="s">
        <v>548</v>
      </c>
      <c r="E1754" s="99" t="s">
        <v>56</v>
      </c>
      <c r="G1754" s="99" t="s">
        <v>267</v>
      </c>
      <c r="I1754" s="99" t="s">
        <v>291</v>
      </c>
      <c r="M1754" s="12"/>
    </row>
    <row r="1755" spans="1:13" s="10" customFormat="1" ht="12.75">
      <c r="A1755" s="11"/>
      <c r="M1755" s="12"/>
    </row>
    <row r="1756" spans="1:13" s="10" customFormat="1" ht="12.75">
      <c r="A1756" s="11"/>
      <c r="B1756" s="10" t="s">
        <v>596</v>
      </c>
      <c r="D1756" s="88" t="s">
        <v>50</v>
      </c>
      <c r="E1756" s="89">
        <f>(0.025+3.5+0.025)</f>
        <v>3.55</v>
      </c>
      <c r="F1756" s="211" t="s">
        <v>69</v>
      </c>
      <c r="G1756" s="89">
        <v>0.15</v>
      </c>
      <c r="H1756" s="211" t="s">
        <v>69</v>
      </c>
      <c r="I1756" s="89">
        <v>2</v>
      </c>
      <c r="L1756" s="93" t="s">
        <v>50</v>
      </c>
      <c r="M1756" s="13">
        <f>E1756*G1756*I1756</f>
        <v>1.0649999999999999</v>
      </c>
    </row>
    <row r="1757" spans="1:13" s="10" customFormat="1" ht="12.75">
      <c r="A1757" s="11"/>
      <c r="B1757" s="10" t="s">
        <v>548</v>
      </c>
      <c r="E1757" s="99" t="s">
        <v>56</v>
      </c>
      <c r="G1757" s="99" t="s">
        <v>267</v>
      </c>
      <c r="I1757" s="99" t="s">
        <v>291</v>
      </c>
      <c r="M1757" s="12"/>
    </row>
    <row r="1758" spans="1:13" s="10" customFormat="1" ht="12.75">
      <c r="A1758" s="11"/>
      <c r="M1758" s="12"/>
    </row>
    <row r="1759" spans="1:13" s="10" customFormat="1" ht="12.75">
      <c r="A1759" s="11"/>
      <c r="B1759" s="10" t="s">
        <v>597</v>
      </c>
      <c r="D1759" s="88" t="s">
        <v>50</v>
      </c>
      <c r="E1759" s="89">
        <f>(0.025+3.65+0.025)</f>
        <v>3.6999999999999997</v>
      </c>
      <c r="F1759" s="211" t="s">
        <v>69</v>
      </c>
      <c r="G1759" s="89">
        <v>0.15</v>
      </c>
      <c r="H1759" s="211" t="s">
        <v>69</v>
      </c>
      <c r="I1759" s="89">
        <v>1</v>
      </c>
      <c r="L1759" s="93" t="s">
        <v>50</v>
      </c>
      <c r="M1759" s="13">
        <f>E1759*G1759*I1759</f>
        <v>0.55499999999999994</v>
      </c>
    </row>
    <row r="1760" spans="1:13" s="10" customFormat="1" ht="12.75">
      <c r="A1760" s="11"/>
      <c r="B1760" s="10" t="s">
        <v>548</v>
      </c>
      <c r="E1760" s="99" t="s">
        <v>56</v>
      </c>
      <c r="G1760" s="99" t="s">
        <v>267</v>
      </c>
      <c r="I1760" s="99" t="s">
        <v>291</v>
      </c>
      <c r="M1760" s="12"/>
    </row>
    <row r="1761" spans="1:13" s="10" customFormat="1" ht="12.75">
      <c r="A1761" s="11"/>
      <c r="M1761" s="12"/>
    </row>
    <row r="1762" spans="1:13" s="10" customFormat="1" ht="12.75">
      <c r="A1762" s="11"/>
      <c r="B1762" s="10" t="s">
        <v>578</v>
      </c>
      <c r="D1762" s="88" t="s">
        <v>50</v>
      </c>
      <c r="E1762" s="89">
        <f>(0.025+0.9+0.025)</f>
        <v>0.95000000000000007</v>
      </c>
      <c r="F1762" s="211" t="s">
        <v>69</v>
      </c>
      <c r="G1762" s="89">
        <v>0.15</v>
      </c>
      <c r="H1762" s="211" t="s">
        <v>69</v>
      </c>
      <c r="I1762" s="89">
        <v>1</v>
      </c>
      <c r="L1762" s="93" t="s">
        <v>50</v>
      </c>
      <c r="M1762" s="13">
        <f>E1762*G1762*I1762</f>
        <v>0.14250000000000002</v>
      </c>
    </row>
    <row r="1763" spans="1:13" s="10" customFormat="1" ht="12.75">
      <c r="A1763" s="11"/>
      <c r="B1763" s="10" t="s">
        <v>548</v>
      </c>
      <c r="E1763" s="99" t="s">
        <v>56</v>
      </c>
      <c r="G1763" s="99" t="s">
        <v>267</v>
      </c>
      <c r="I1763" s="99" t="s">
        <v>291</v>
      </c>
      <c r="M1763" s="12"/>
    </row>
    <row r="1764" spans="1:13" s="10" customFormat="1" ht="12.75">
      <c r="A1764" s="11"/>
      <c r="M1764" s="12"/>
    </row>
    <row r="1765" spans="1:13" s="10" customFormat="1" ht="12.75">
      <c r="A1765" s="11"/>
      <c r="B1765" s="10" t="s">
        <v>579</v>
      </c>
      <c r="D1765" s="88" t="s">
        <v>50</v>
      </c>
      <c r="E1765" s="89">
        <f>(0.025+0.9+0.025)</f>
        <v>0.95000000000000007</v>
      </c>
      <c r="F1765" s="211" t="s">
        <v>69</v>
      </c>
      <c r="G1765" s="89">
        <v>0.15</v>
      </c>
      <c r="H1765" s="211" t="s">
        <v>69</v>
      </c>
      <c r="I1765" s="89">
        <v>1</v>
      </c>
      <c r="L1765" s="93" t="s">
        <v>50</v>
      </c>
      <c r="M1765" s="13">
        <f>E1765*G1765*I1765</f>
        <v>0.14250000000000002</v>
      </c>
    </row>
    <row r="1766" spans="1:13" s="10" customFormat="1" ht="12.75">
      <c r="A1766" s="11"/>
      <c r="B1766" s="10" t="s">
        <v>548</v>
      </c>
      <c r="E1766" s="99" t="s">
        <v>56</v>
      </c>
      <c r="G1766" s="99" t="s">
        <v>267</v>
      </c>
      <c r="I1766" s="99" t="s">
        <v>291</v>
      </c>
      <c r="M1766" s="12"/>
    </row>
    <row r="1767" spans="1:13" s="10" customFormat="1" ht="12.75">
      <c r="A1767" s="11"/>
      <c r="M1767" s="12"/>
    </row>
    <row r="1768" spans="1:13" s="10" customFormat="1" ht="12.75">
      <c r="A1768" s="11"/>
      <c r="B1768" s="10" t="s">
        <v>580</v>
      </c>
      <c r="D1768" s="88" t="s">
        <v>50</v>
      </c>
      <c r="E1768" s="89">
        <f>(0.025+1.1+0.025)</f>
        <v>1.1499999999999999</v>
      </c>
      <c r="F1768" s="211" t="s">
        <v>69</v>
      </c>
      <c r="G1768" s="89">
        <v>0.15</v>
      </c>
      <c r="H1768" s="211" t="s">
        <v>69</v>
      </c>
      <c r="I1768" s="89">
        <v>1</v>
      </c>
      <c r="L1768" s="93" t="s">
        <v>50</v>
      </c>
      <c r="M1768" s="13">
        <f>E1768*G1768*I1768</f>
        <v>0.17249999999999999</v>
      </c>
    </row>
    <row r="1769" spans="1:13" s="10" customFormat="1" ht="12.75">
      <c r="A1769" s="11"/>
      <c r="B1769" s="10" t="s">
        <v>548</v>
      </c>
      <c r="E1769" s="99" t="s">
        <v>56</v>
      </c>
      <c r="G1769" s="99" t="s">
        <v>267</v>
      </c>
      <c r="I1769" s="99" t="s">
        <v>291</v>
      </c>
      <c r="M1769" s="12"/>
    </row>
    <row r="1770" spans="1:13" s="10" customFormat="1" ht="12.75">
      <c r="A1770" s="11"/>
      <c r="M1770" s="12"/>
    </row>
    <row r="1771" spans="1:13" s="161" customFormat="1" ht="12.75">
      <c r="A1771" s="163"/>
      <c r="B1771" s="161" t="s">
        <v>10</v>
      </c>
      <c r="E1771" s="164" t="s">
        <v>395</v>
      </c>
      <c r="I1771" s="165" t="s">
        <v>265</v>
      </c>
      <c r="L1771" s="162" t="s">
        <v>50</v>
      </c>
      <c r="M1771" s="46">
        <f>SUM(M1729:M1770)</f>
        <v>3.7243499999999998</v>
      </c>
    </row>
    <row r="1772" spans="1:13" s="10" customFormat="1" ht="12.75">
      <c r="A1772" s="11"/>
      <c r="M1772" s="12"/>
    </row>
    <row r="1773" spans="1:13" s="10" customFormat="1" ht="15">
      <c r="A1773" s="16" t="str">
        <f>ORÇAMENTO!A225</f>
        <v>15.</v>
      </c>
      <c r="B1773" s="85"/>
      <c r="C1773" s="386" t="str">
        <f>ORÇAMENTO!B225</f>
        <v>FORRO E TETOS</v>
      </c>
      <c r="D1773" s="386"/>
      <c r="E1773" s="386"/>
      <c r="F1773" s="386"/>
      <c r="G1773" s="386"/>
      <c r="H1773" s="386"/>
      <c r="I1773" s="386"/>
      <c r="J1773" s="386"/>
      <c r="K1773" s="386"/>
      <c r="L1773" s="386"/>
      <c r="M1773" s="387"/>
    </row>
    <row r="1774" spans="1:13" s="10" customFormat="1" ht="15">
      <c r="A1774" s="41"/>
      <c r="C1774" s="186"/>
      <c r="D1774" s="186"/>
      <c r="E1774" s="186"/>
      <c r="F1774" s="186"/>
      <c r="G1774" s="186"/>
      <c r="H1774" s="186"/>
      <c r="I1774" s="186"/>
      <c r="J1774" s="186"/>
      <c r="K1774" s="186"/>
      <c r="L1774" s="186"/>
      <c r="M1774" s="187"/>
    </row>
    <row r="1775" spans="1:13" customFormat="1" ht="35.25" customHeight="1">
      <c r="A1775" s="134" t="str">
        <f>ORÇAMENTO!A226</f>
        <v>15.1</v>
      </c>
      <c r="B1775" s="135"/>
      <c r="C1775" s="383" t="str">
        <f>ORÇAMENTO!D226</f>
        <v>FORRO EM CHAPA DE GESSO ACARTONADO, ESP. 12,5MM, COM FIXAÇÃO DO TIPO ARAMADO, EXCLUSIVE PERFIL TABICA, SANCA E MOLDURA, INCLUSIVE ACESSÓRIOS E FIXAÇÃO</v>
      </c>
      <c r="D1775" s="383"/>
      <c r="E1775" s="383"/>
      <c r="F1775" s="383"/>
      <c r="G1775" s="383"/>
      <c r="H1775" s="383"/>
      <c r="I1775" s="383"/>
      <c r="J1775" s="383"/>
      <c r="K1775" s="383"/>
      <c r="L1775" s="383"/>
      <c r="M1775" s="108" t="str">
        <f>ORÇAMENTO!E226</f>
        <v>M2</v>
      </c>
    </row>
    <row r="1776" spans="1:13" customFormat="1" ht="12.75">
      <c r="A1776" s="136"/>
      <c r="B1776" s="137"/>
      <c r="E1776" s="138"/>
      <c r="G1776" s="138"/>
      <c r="I1776" s="138"/>
      <c r="M1776" s="139"/>
    </row>
    <row r="1777" spans="1:13" customFormat="1" ht="12.75">
      <c r="A1777" s="136"/>
      <c r="B1777" s="137" t="s">
        <v>589</v>
      </c>
      <c r="D1777" s="140" t="s">
        <v>50</v>
      </c>
      <c r="E1777" s="141">
        <v>35.709000000000003</v>
      </c>
      <c r="F1777" s="142"/>
      <c r="G1777" s="148"/>
      <c r="H1777" s="142"/>
      <c r="I1777" s="143"/>
      <c r="J1777" s="144"/>
      <c r="K1777" s="144"/>
      <c r="L1777" s="145" t="s">
        <v>50</v>
      </c>
      <c r="M1777" s="146">
        <f>E1777</f>
        <v>35.709000000000003</v>
      </c>
    </row>
    <row r="1778" spans="1:13" customFormat="1" ht="12.75">
      <c r="A1778" s="136"/>
      <c r="B1778" s="137" t="s">
        <v>645</v>
      </c>
      <c r="E1778" s="138" t="s">
        <v>121</v>
      </c>
      <c r="G1778" s="138"/>
      <c r="I1778" s="138"/>
      <c r="M1778" s="139"/>
    </row>
    <row r="1779" spans="1:13" customFormat="1" ht="12.75">
      <c r="A1779" s="136"/>
      <c r="B1779" s="137"/>
      <c r="E1779" s="138"/>
      <c r="G1779" s="138"/>
      <c r="I1779" s="138"/>
      <c r="M1779" s="139"/>
    </row>
    <row r="1780" spans="1:13" s="161" customFormat="1" ht="12.75">
      <c r="A1780" s="163"/>
      <c r="B1780" s="161" t="s">
        <v>10</v>
      </c>
      <c r="E1780" s="161" t="s">
        <v>149</v>
      </c>
      <c r="H1780" s="164"/>
      <c r="I1780" s="165" t="s">
        <v>265</v>
      </c>
      <c r="L1780" s="162" t="s">
        <v>50</v>
      </c>
      <c r="M1780" s="46">
        <f>SUM(M1777)</f>
        <v>35.709000000000003</v>
      </c>
    </row>
    <row r="1781" spans="1:13" customFormat="1" ht="12.75">
      <c r="A1781" s="136"/>
      <c r="B1781" s="137"/>
      <c r="E1781" s="138"/>
      <c r="G1781" s="138"/>
      <c r="I1781" s="138"/>
      <c r="M1781" s="139"/>
    </row>
    <row r="1782" spans="1:13" customFormat="1" ht="35.25" customHeight="1">
      <c r="A1782" s="134" t="str">
        <f>ORÇAMENTO!A227</f>
        <v>15.2</v>
      </c>
      <c r="B1782" s="135"/>
      <c r="C1782" s="383" t="str">
        <f>ORÇAMENTO!D227</f>
        <v>PERFIL TABICA GALVANIZADO, TIPO LISA, COM ACABAMENTO EM PINTURA, NA COR BRANCA, PARA FORRO EM CHAPA DE GESSO ACARTONADO, INCLUSIVE ACESSÓRIOS DE FIXAÇÃO</v>
      </c>
      <c r="D1782" s="383"/>
      <c r="E1782" s="383"/>
      <c r="F1782" s="383"/>
      <c r="G1782" s="383"/>
      <c r="H1782" s="383"/>
      <c r="I1782" s="383"/>
      <c r="J1782" s="383"/>
      <c r="K1782" s="383"/>
      <c r="L1782" s="383"/>
      <c r="M1782" s="108" t="str">
        <f>ORÇAMENTO!E227</f>
        <v>M</v>
      </c>
    </row>
    <row r="1783" spans="1:13" customFormat="1" ht="12.75">
      <c r="A1783" s="136"/>
      <c r="B1783" s="137"/>
      <c r="E1783" s="138"/>
      <c r="G1783" s="138"/>
      <c r="I1783" s="138"/>
      <c r="M1783" s="139"/>
    </row>
    <row r="1784" spans="1:13" customFormat="1" ht="12.75">
      <c r="A1784" s="136"/>
      <c r="B1784" s="137" t="s">
        <v>589</v>
      </c>
      <c r="D1784" s="140" t="s">
        <v>50</v>
      </c>
      <c r="E1784" s="141">
        <v>30.234999999999999</v>
      </c>
      <c r="F1784" s="142"/>
      <c r="G1784" s="148"/>
      <c r="H1784" s="142"/>
      <c r="I1784" s="143"/>
      <c r="J1784" s="144"/>
      <c r="K1784" s="144"/>
      <c r="L1784" s="145" t="s">
        <v>50</v>
      </c>
      <c r="M1784" s="146">
        <f>E1784</f>
        <v>30.234999999999999</v>
      </c>
    </row>
    <row r="1785" spans="1:13" customFormat="1" ht="12.75">
      <c r="A1785" s="136"/>
      <c r="B1785" s="137" t="s">
        <v>645</v>
      </c>
      <c r="E1785" s="138" t="s">
        <v>120</v>
      </c>
      <c r="G1785" s="138"/>
      <c r="I1785" s="138"/>
      <c r="M1785" s="139"/>
    </row>
    <row r="1786" spans="1:13" customFormat="1" ht="12.75">
      <c r="A1786" s="136"/>
      <c r="B1786" s="137"/>
      <c r="E1786" s="138"/>
      <c r="G1786" s="138"/>
      <c r="I1786" s="138"/>
      <c r="M1786" s="139"/>
    </row>
    <row r="1787" spans="1:13" s="161" customFormat="1" ht="12.75">
      <c r="A1787" s="163"/>
      <c r="B1787" s="161" t="s">
        <v>10</v>
      </c>
      <c r="E1787" s="161" t="s">
        <v>149</v>
      </c>
      <c r="H1787" s="164"/>
      <c r="I1787" s="165" t="s">
        <v>265</v>
      </c>
      <c r="L1787" s="162" t="s">
        <v>50</v>
      </c>
      <c r="M1787" s="46">
        <f>SUM(M1784)</f>
        <v>30.234999999999999</v>
      </c>
    </row>
    <row r="1788" spans="1:13" customFormat="1" ht="12.75">
      <c r="A1788" s="136"/>
      <c r="B1788" s="137"/>
      <c r="E1788" s="138"/>
      <c r="G1788" s="138"/>
      <c r="I1788" s="138"/>
      <c r="M1788" s="139"/>
    </row>
    <row r="1789" spans="1:13" s="10" customFormat="1" ht="15">
      <c r="A1789" s="16" t="str">
        <f>ORÇAMENTO!A229</f>
        <v>16.</v>
      </c>
      <c r="B1789" s="85"/>
      <c r="C1789" s="386" t="str">
        <f>ORÇAMENTO!B229</f>
        <v>AR CONDICIONADO</v>
      </c>
      <c r="D1789" s="386"/>
      <c r="E1789" s="386"/>
      <c r="F1789" s="386"/>
      <c r="G1789" s="386"/>
      <c r="H1789" s="386"/>
      <c r="I1789" s="386"/>
      <c r="J1789" s="386"/>
      <c r="K1789" s="386"/>
      <c r="L1789" s="386"/>
      <c r="M1789" s="387"/>
    </row>
    <row r="1790" spans="1:13" s="10" customFormat="1" ht="12.75">
      <c r="A1790" s="11"/>
      <c r="M1790" s="12"/>
    </row>
    <row r="1791" spans="1:13" s="10" customFormat="1" ht="26.25" customHeight="1">
      <c r="A1791" s="106" t="str">
        <f>ORÇAMENTO!A230</f>
        <v>16.1</v>
      </c>
      <c r="B1791" s="107"/>
      <c r="C1791" s="383" t="str">
        <f>ORÇAMENTO!D230</f>
        <v>AR CONDICIONADO SPLIT ON/OFF, HI-WALL (PAREDE), 9000 BTUS/H, CICLO QUENTE/FRIO - FORNECIMENTO E INSTALAÇÃO. AF_11/2021_PE</v>
      </c>
      <c r="D1791" s="383"/>
      <c r="E1791" s="383"/>
      <c r="F1791" s="383"/>
      <c r="G1791" s="383"/>
      <c r="H1791" s="383"/>
      <c r="I1791" s="383"/>
      <c r="J1791" s="383"/>
      <c r="K1791" s="383"/>
      <c r="L1791" s="383"/>
      <c r="M1791" s="108" t="str">
        <f>ORÇAMENTO!E230</f>
        <v>UN</v>
      </c>
    </row>
    <row r="1792" spans="1:13" s="10" customFormat="1" ht="12.75">
      <c r="A1792" s="189"/>
      <c r="B1792" s="133"/>
      <c r="C1792" s="150"/>
      <c r="D1792" s="150"/>
      <c r="E1792" s="150"/>
      <c r="F1792" s="150"/>
      <c r="G1792" s="150"/>
      <c r="H1792" s="150"/>
      <c r="I1792" s="150"/>
      <c r="J1792" s="150"/>
      <c r="K1792" s="150"/>
      <c r="L1792" s="150"/>
      <c r="M1792" s="151"/>
    </row>
    <row r="1793" spans="1:13" s="10" customFormat="1" ht="12.75">
      <c r="A1793" s="11"/>
      <c r="B1793" s="10" t="s">
        <v>640</v>
      </c>
      <c r="D1793" s="88" t="s">
        <v>50</v>
      </c>
      <c r="E1793" s="89">
        <v>1</v>
      </c>
      <c r="F1793" s="90"/>
      <c r="G1793" s="91"/>
      <c r="H1793" s="90"/>
      <c r="I1793" s="91"/>
      <c r="J1793" s="90"/>
      <c r="K1793" s="91"/>
      <c r="L1793" s="93" t="s">
        <v>50</v>
      </c>
      <c r="M1793" s="13">
        <f>E1793</f>
        <v>1</v>
      </c>
    </row>
    <row r="1794" spans="1:13" s="10" customFormat="1" ht="12.75">
      <c r="A1794" s="11"/>
      <c r="B1794" s="10" t="s">
        <v>645</v>
      </c>
      <c r="E1794" s="99" t="s">
        <v>219</v>
      </c>
      <c r="G1794" s="90"/>
      <c r="H1794" s="90"/>
      <c r="I1794" s="90"/>
      <c r="K1794" s="99"/>
      <c r="M1794" s="12"/>
    </row>
    <row r="1795" spans="1:13" s="10" customFormat="1" ht="12.75">
      <c r="A1795" s="11"/>
      <c r="M1795" s="12"/>
    </row>
    <row r="1796" spans="1:13" s="10" customFormat="1" ht="12.75">
      <c r="A1796" s="11"/>
      <c r="B1796" s="10" t="s">
        <v>581</v>
      </c>
      <c r="D1796" s="88" t="s">
        <v>50</v>
      </c>
      <c r="E1796" s="89">
        <v>1</v>
      </c>
      <c r="F1796" s="264"/>
      <c r="G1796" s="91"/>
      <c r="H1796" s="264"/>
      <c r="I1796" s="91"/>
      <c r="J1796" s="264"/>
      <c r="K1796" s="91"/>
      <c r="L1796" s="93" t="s">
        <v>50</v>
      </c>
      <c r="M1796" s="13">
        <f>E1796</f>
        <v>1</v>
      </c>
    </row>
    <row r="1797" spans="1:13" s="10" customFormat="1" ht="12.75">
      <c r="A1797" s="11"/>
      <c r="B1797" s="10" t="s">
        <v>645</v>
      </c>
      <c r="E1797" s="99" t="s">
        <v>219</v>
      </c>
      <c r="G1797" s="264"/>
      <c r="H1797" s="264"/>
      <c r="I1797" s="264"/>
      <c r="K1797" s="99"/>
      <c r="M1797" s="12"/>
    </row>
    <row r="1798" spans="1:13" s="10" customFormat="1" ht="12.75">
      <c r="A1798" s="11"/>
      <c r="M1798" s="12"/>
    </row>
    <row r="1799" spans="1:13" s="10" customFormat="1" ht="12.75">
      <c r="A1799" s="11"/>
      <c r="B1799" s="10" t="s">
        <v>582</v>
      </c>
      <c r="D1799" s="88" t="s">
        <v>50</v>
      </c>
      <c r="E1799" s="89">
        <v>1</v>
      </c>
      <c r="F1799" s="264"/>
      <c r="G1799" s="91"/>
      <c r="H1799" s="264"/>
      <c r="I1799" s="91"/>
      <c r="J1799" s="264"/>
      <c r="K1799" s="91"/>
      <c r="L1799" s="93" t="s">
        <v>50</v>
      </c>
      <c r="M1799" s="13">
        <f>E1799</f>
        <v>1</v>
      </c>
    </row>
    <row r="1800" spans="1:13" s="10" customFormat="1" ht="12.75">
      <c r="A1800" s="11"/>
      <c r="B1800" s="10" t="s">
        <v>548</v>
      </c>
      <c r="E1800" s="99" t="s">
        <v>219</v>
      </c>
      <c r="G1800" s="264"/>
      <c r="H1800" s="264"/>
      <c r="I1800" s="264"/>
      <c r="K1800" s="99"/>
      <c r="M1800" s="12"/>
    </row>
    <row r="1801" spans="1:13" s="10" customFormat="1" ht="12.75">
      <c r="A1801" s="11"/>
      <c r="M1801" s="12"/>
    </row>
    <row r="1802" spans="1:13" s="161" customFormat="1" ht="12.75">
      <c r="A1802" s="163"/>
      <c r="B1802" s="161" t="s">
        <v>10</v>
      </c>
      <c r="H1802" s="164"/>
      <c r="I1802" s="165" t="s">
        <v>883</v>
      </c>
      <c r="L1802" s="162" t="s">
        <v>50</v>
      </c>
      <c r="M1802" s="46">
        <f>SUM(M1793:M1799)</f>
        <v>3</v>
      </c>
    </row>
    <row r="1803" spans="1:13" s="161" customFormat="1" ht="12.75">
      <c r="A1803" s="163"/>
      <c r="H1803" s="164"/>
      <c r="I1803" s="165"/>
      <c r="L1803" s="162"/>
      <c r="M1803" s="272"/>
    </row>
    <row r="1804" spans="1:13" s="10" customFormat="1" ht="26.25" customHeight="1">
      <c r="A1804" s="106" t="str">
        <f>ORÇAMENTO!A231</f>
        <v>16.2</v>
      </c>
      <c r="B1804" s="107"/>
      <c r="C1804" s="383" t="str">
        <f>ORÇAMENTO!D231</f>
        <v>AR CONDICIONADO SPLIT ON/OFF, HI-WALL (PAREDE), 12000 BTUS/H, CICLO QUENTE/FRIO - FORNECIMENTO E INSTALAÇÃO. AF_11/2021_PE</v>
      </c>
      <c r="D1804" s="383"/>
      <c r="E1804" s="383"/>
      <c r="F1804" s="383"/>
      <c r="G1804" s="383"/>
      <c r="H1804" s="383"/>
      <c r="I1804" s="383"/>
      <c r="J1804" s="383"/>
      <c r="K1804" s="383"/>
      <c r="L1804" s="383"/>
      <c r="M1804" s="108" t="str">
        <f>ORÇAMENTO!E231</f>
        <v>UN</v>
      </c>
    </row>
    <row r="1805" spans="1:13" s="10" customFormat="1" ht="12.75">
      <c r="A1805" s="189"/>
      <c r="B1805" s="133"/>
      <c r="C1805" s="150"/>
      <c r="D1805" s="150"/>
      <c r="E1805" s="150"/>
      <c r="F1805" s="150"/>
      <c r="G1805" s="150"/>
      <c r="H1805" s="150"/>
      <c r="I1805" s="150"/>
      <c r="J1805" s="150"/>
      <c r="K1805" s="150"/>
      <c r="L1805" s="150"/>
      <c r="M1805" s="151"/>
    </row>
    <row r="1806" spans="1:13" s="10" customFormat="1" ht="12.75">
      <c r="A1806" s="11"/>
      <c r="B1806" s="10" t="s">
        <v>593</v>
      </c>
      <c r="D1806" s="88" t="s">
        <v>50</v>
      </c>
      <c r="E1806" s="89">
        <v>1</v>
      </c>
      <c r="F1806" s="264"/>
      <c r="G1806" s="91"/>
      <c r="H1806" s="264"/>
      <c r="I1806" s="91"/>
      <c r="J1806" s="264"/>
      <c r="K1806" s="91"/>
      <c r="L1806" s="93" t="s">
        <v>50</v>
      </c>
      <c r="M1806" s="13">
        <f>E1806</f>
        <v>1</v>
      </c>
    </row>
    <row r="1807" spans="1:13" s="10" customFormat="1" ht="12.75">
      <c r="A1807" s="11"/>
      <c r="B1807" s="10" t="s">
        <v>548</v>
      </c>
      <c r="E1807" s="99" t="s">
        <v>219</v>
      </c>
      <c r="G1807" s="264"/>
      <c r="H1807" s="264"/>
      <c r="I1807" s="264"/>
      <c r="K1807" s="99"/>
      <c r="M1807" s="12"/>
    </row>
    <row r="1808" spans="1:13" s="10" customFormat="1" ht="12.75">
      <c r="A1808" s="11"/>
      <c r="M1808" s="12"/>
    </row>
    <row r="1809" spans="1:13" s="10" customFormat="1" ht="12.75">
      <c r="A1809" s="11"/>
      <c r="B1809" s="10" t="s">
        <v>594</v>
      </c>
      <c r="D1809" s="88" t="s">
        <v>50</v>
      </c>
      <c r="E1809" s="89">
        <v>1</v>
      </c>
      <c r="F1809" s="264"/>
      <c r="G1809" s="91"/>
      <c r="H1809" s="264"/>
      <c r="I1809" s="91"/>
      <c r="J1809" s="264"/>
      <c r="K1809" s="91"/>
      <c r="L1809" s="93" t="s">
        <v>50</v>
      </c>
      <c r="M1809" s="13">
        <f>E1809</f>
        <v>1</v>
      </c>
    </row>
    <row r="1810" spans="1:13" s="10" customFormat="1" ht="12.75">
      <c r="A1810" s="11"/>
      <c r="B1810" s="10" t="s">
        <v>548</v>
      </c>
      <c r="E1810" s="99" t="s">
        <v>219</v>
      </c>
      <c r="G1810" s="264"/>
      <c r="H1810" s="264"/>
      <c r="I1810" s="264"/>
      <c r="K1810" s="99"/>
      <c r="M1810" s="12"/>
    </row>
    <row r="1811" spans="1:13" s="10" customFormat="1" ht="12.75">
      <c r="A1811" s="11"/>
      <c r="M1811" s="12"/>
    </row>
    <row r="1812" spans="1:13" s="161" customFormat="1" ht="12.75">
      <c r="A1812" s="163"/>
      <c r="B1812" s="161" t="s">
        <v>10</v>
      </c>
      <c r="H1812" s="164"/>
      <c r="I1812" s="165" t="s">
        <v>883</v>
      </c>
      <c r="L1812" s="162" t="s">
        <v>50</v>
      </c>
      <c r="M1812" s="46">
        <f>SUM(M1806:M1809)</f>
        <v>2</v>
      </c>
    </row>
    <row r="1813" spans="1:13" s="161" customFormat="1" ht="12.75">
      <c r="A1813" s="163"/>
      <c r="H1813" s="164"/>
      <c r="I1813" s="165"/>
      <c r="L1813" s="162"/>
      <c r="M1813" s="272"/>
    </row>
    <row r="1814" spans="1:13" s="10" customFormat="1" ht="26.25" customHeight="1">
      <c r="A1814" s="106" t="str">
        <f>ORÇAMENTO!A232</f>
        <v>16.3</v>
      </c>
      <c r="B1814" s="107"/>
      <c r="C1814" s="383" t="str">
        <f>ORÇAMENTO!D232</f>
        <v>AR CONDICIONADO SPLIT ON/OFF, HI-WALL (PAREDE), 18000 BTUS/H, CICLO QUENTE/FRIO - FORNECIMENTO E INSTALAÇÃO. AF_11/2021_PE</v>
      </c>
      <c r="D1814" s="383"/>
      <c r="E1814" s="383"/>
      <c r="F1814" s="383"/>
      <c r="G1814" s="383"/>
      <c r="H1814" s="383"/>
      <c r="I1814" s="383"/>
      <c r="J1814" s="383"/>
      <c r="K1814" s="383"/>
      <c r="L1814" s="383"/>
      <c r="M1814" s="108" t="str">
        <f>ORÇAMENTO!E232</f>
        <v>UN</v>
      </c>
    </row>
    <row r="1815" spans="1:13" s="10" customFormat="1" ht="12.75">
      <c r="A1815" s="189"/>
      <c r="B1815" s="133"/>
      <c r="C1815" s="150"/>
      <c r="D1815" s="150"/>
      <c r="E1815" s="150"/>
      <c r="F1815" s="150"/>
      <c r="G1815" s="150"/>
      <c r="H1815" s="150"/>
      <c r="I1815" s="150"/>
      <c r="J1815" s="150"/>
      <c r="K1815" s="150"/>
      <c r="L1815" s="150"/>
      <c r="M1815" s="151"/>
    </row>
    <row r="1816" spans="1:13" s="10" customFormat="1" ht="12.75">
      <c r="A1816" s="11"/>
      <c r="B1816" s="10" t="s">
        <v>881</v>
      </c>
      <c r="D1816" s="88" t="s">
        <v>50</v>
      </c>
      <c r="E1816" s="89">
        <v>1</v>
      </c>
      <c r="F1816" s="266"/>
      <c r="G1816" s="91"/>
      <c r="H1816" s="266"/>
      <c r="I1816" s="91"/>
      <c r="J1816" s="266"/>
      <c r="K1816" s="91"/>
      <c r="L1816" s="93" t="s">
        <v>50</v>
      </c>
      <c r="M1816" s="13">
        <f>E1816</f>
        <v>1</v>
      </c>
    </row>
    <row r="1817" spans="1:13" s="10" customFormat="1" ht="12.75">
      <c r="A1817" s="11"/>
      <c r="B1817" s="10" t="s">
        <v>615</v>
      </c>
      <c r="E1817" s="99" t="s">
        <v>219</v>
      </c>
      <c r="G1817" s="266"/>
      <c r="H1817" s="266"/>
      <c r="I1817" s="266"/>
      <c r="K1817" s="99"/>
      <c r="M1817" s="12"/>
    </row>
    <row r="1818" spans="1:13" s="10" customFormat="1" ht="12.75">
      <c r="A1818" s="11"/>
      <c r="M1818" s="12"/>
    </row>
    <row r="1819" spans="1:13" s="161" customFormat="1" ht="12.75">
      <c r="A1819" s="163"/>
      <c r="B1819" s="161" t="s">
        <v>10</v>
      </c>
      <c r="H1819" s="164"/>
      <c r="I1819" s="165" t="s">
        <v>883</v>
      </c>
      <c r="L1819" s="162" t="s">
        <v>50</v>
      </c>
      <c r="M1819" s="46">
        <f>SUM(M1816:M1816)</f>
        <v>1</v>
      </c>
    </row>
    <row r="1820" spans="1:13" s="161" customFormat="1" ht="12.75">
      <c r="A1820" s="163"/>
      <c r="H1820" s="164"/>
      <c r="I1820" s="165"/>
      <c r="L1820" s="162"/>
      <c r="M1820" s="272"/>
    </row>
    <row r="1821" spans="1:13" s="10" customFormat="1" ht="26.25" customHeight="1">
      <c r="A1821" s="106" t="str">
        <f>ORÇAMENTO!A233</f>
        <v>16.4</v>
      </c>
      <c r="B1821" s="107"/>
      <c r="C1821" s="383" t="str">
        <f>ORÇAMENTO!D233</f>
        <v>AR CONDICIONADO SPLIT ON/OFF, HI-WALL (PAREDE), 24000 BTUS/H, CICLO QUENTE/FRIO - FORNECIMENTO E INSTALAÇÃO. AF_11/2021_PE</v>
      </c>
      <c r="D1821" s="383"/>
      <c r="E1821" s="383"/>
      <c r="F1821" s="383"/>
      <c r="G1821" s="383"/>
      <c r="H1821" s="383"/>
      <c r="I1821" s="383"/>
      <c r="J1821" s="383"/>
      <c r="K1821" s="383"/>
      <c r="L1821" s="383"/>
      <c r="M1821" s="108" t="str">
        <f>ORÇAMENTO!E233</f>
        <v>UN</v>
      </c>
    </row>
    <row r="1822" spans="1:13" s="10" customFormat="1" ht="12.75">
      <c r="A1822" s="189"/>
      <c r="B1822" s="133"/>
      <c r="C1822" s="150"/>
      <c r="D1822" s="150"/>
      <c r="E1822" s="150"/>
      <c r="F1822" s="150"/>
      <c r="G1822" s="150"/>
      <c r="H1822" s="150"/>
      <c r="I1822" s="150"/>
      <c r="J1822" s="150"/>
      <c r="K1822" s="150"/>
      <c r="L1822" s="150"/>
      <c r="M1822" s="151"/>
    </row>
    <row r="1823" spans="1:13" s="10" customFormat="1" ht="12.75">
      <c r="A1823" s="11"/>
      <c r="B1823" s="10" t="s">
        <v>882</v>
      </c>
      <c r="D1823" s="88" t="s">
        <v>50</v>
      </c>
      <c r="E1823" s="89">
        <v>1</v>
      </c>
      <c r="F1823" s="90"/>
      <c r="G1823" s="91"/>
      <c r="H1823" s="90"/>
      <c r="I1823" s="91"/>
      <c r="J1823" s="90"/>
      <c r="K1823" s="91"/>
      <c r="L1823" s="93" t="s">
        <v>50</v>
      </c>
      <c r="M1823" s="13">
        <f>E1823</f>
        <v>1</v>
      </c>
    </row>
    <row r="1824" spans="1:13" s="10" customFormat="1" ht="12.75">
      <c r="A1824" s="11"/>
      <c r="B1824" s="10" t="s">
        <v>615</v>
      </c>
      <c r="E1824" s="99" t="s">
        <v>219</v>
      </c>
      <c r="G1824" s="90"/>
      <c r="H1824" s="90"/>
      <c r="I1824" s="90"/>
      <c r="K1824" s="99"/>
      <c r="M1824" s="12"/>
    </row>
    <row r="1825" spans="1:13" s="10" customFormat="1" ht="12.75">
      <c r="A1825" s="11"/>
      <c r="M1825" s="12"/>
    </row>
    <row r="1826" spans="1:13" s="161" customFormat="1" ht="12.75">
      <c r="A1826" s="163"/>
      <c r="B1826" s="161" t="s">
        <v>10</v>
      </c>
      <c r="H1826" s="164"/>
      <c r="I1826" s="165" t="s">
        <v>883</v>
      </c>
      <c r="L1826" s="162" t="s">
        <v>50</v>
      </c>
      <c r="M1826" s="46">
        <f>SUM(M1823:M1823)</f>
        <v>1</v>
      </c>
    </row>
    <row r="1827" spans="1:13" s="161" customFormat="1" ht="12.75">
      <c r="A1827" s="163"/>
      <c r="H1827" s="164"/>
      <c r="I1827" s="165"/>
      <c r="L1827" s="162"/>
      <c r="M1827" s="272"/>
    </row>
    <row r="1828" spans="1:13" s="10" customFormat="1" ht="26.25" customHeight="1">
      <c r="A1828" s="106" t="str">
        <f>ORÇAMENTO!A234</f>
        <v>16.5</v>
      </c>
      <c r="B1828" s="107"/>
      <c r="C1828" s="383" t="str">
        <f>ORÇAMENTO!D234</f>
        <v>TUBO EM COBRE FLEXÍVEL, DN 3/4", COM ISOLAMENTO, INSTALADO EM RAMAL DE ALIMENTAÇÃO DE AR-CONDICIONADO - FORNECIMENTO E INSTALAÇÃO. AF_07/2025</v>
      </c>
      <c r="D1828" s="383"/>
      <c r="E1828" s="383"/>
      <c r="F1828" s="383"/>
      <c r="G1828" s="383"/>
      <c r="H1828" s="383"/>
      <c r="I1828" s="383"/>
      <c r="J1828" s="383"/>
      <c r="K1828" s="383"/>
      <c r="L1828" s="383"/>
      <c r="M1828" s="108" t="str">
        <f>ORÇAMENTO!E234</f>
        <v>M</v>
      </c>
    </row>
    <row r="1829" spans="1:13" s="10" customFormat="1" ht="12.75">
      <c r="A1829" s="189"/>
      <c r="B1829" s="133"/>
      <c r="C1829" s="150"/>
      <c r="D1829" s="150"/>
      <c r="E1829" s="150"/>
      <c r="F1829" s="150"/>
      <c r="G1829" s="150"/>
      <c r="H1829" s="150"/>
      <c r="I1829" s="150"/>
      <c r="J1829" s="150"/>
      <c r="K1829" s="150"/>
      <c r="L1829" s="150"/>
      <c r="M1829" s="151"/>
    </row>
    <row r="1830" spans="1:13" s="10" customFormat="1" ht="12.75">
      <c r="A1830" s="11"/>
      <c r="B1830" s="10" t="s">
        <v>640</v>
      </c>
      <c r="D1830" s="88" t="s">
        <v>50</v>
      </c>
      <c r="E1830" s="89">
        <v>3</v>
      </c>
      <c r="F1830" s="266"/>
      <c r="G1830" s="91"/>
      <c r="H1830" s="266"/>
      <c r="I1830" s="91"/>
      <c r="J1830" s="266"/>
      <c r="K1830" s="91"/>
      <c r="L1830" s="93" t="s">
        <v>50</v>
      </c>
      <c r="M1830" s="13">
        <f>E1830</f>
        <v>3</v>
      </c>
    </row>
    <row r="1831" spans="1:13" s="10" customFormat="1" ht="12.75">
      <c r="A1831" s="11"/>
      <c r="B1831" s="10" t="s">
        <v>645</v>
      </c>
      <c r="E1831" s="99" t="s">
        <v>56</v>
      </c>
      <c r="G1831" s="266"/>
      <c r="H1831" s="266"/>
      <c r="I1831" s="266"/>
      <c r="K1831" s="99"/>
      <c r="M1831" s="12"/>
    </row>
    <row r="1832" spans="1:13" s="10" customFormat="1" ht="12.75">
      <c r="A1832" s="11"/>
      <c r="M1832" s="12"/>
    </row>
    <row r="1833" spans="1:13" s="10" customFormat="1" ht="12.75">
      <c r="A1833" s="11"/>
      <c r="B1833" s="10" t="s">
        <v>581</v>
      </c>
      <c r="D1833" s="88" t="s">
        <v>50</v>
      </c>
      <c r="E1833" s="89">
        <v>3</v>
      </c>
      <c r="F1833" s="266"/>
      <c r="G1833" s="91"/>
      <c r="H1833" s="266"/>
      <c r="I1833" s="91"/>
      <c r="J1833" s="266"/>
      <c r="K1833" s="91"/>
      <c r="L1833" s="93" t="s">
        <v>50</v>
      </c>
      <c r="M1833" s="13">
        <f>E1833</f>
        <v>3</v>
      </c>
    </row>
    <row r="1834" spans="1:13" s="10" customFormat="1" ht="12.75">
      <c r="A1834" s="11"/>
      <c r="B1834" s="10" t="s">
        <v>645</v>
      </c>
      <c r="E1834" s="99" t="s">
        <v>56</v>
      </c>
      <c r="G1834" s="266"/>
      <c r="H1834" s="266"/>
      <c r="I1834" s="266"/>
      <c r="K1834" s="99"/>
      <c r="M1834" s="12"/>
    </row>
    <row r="1835" spans="1:13" s="10" customFormat="1" ht="12.75">
      <c r="A1835" s="11"/>
      <c r="M1835" s="12"/>
    </row>
    <row r="1836" spans="1:13" s="10" customFormat="1" ht="12.75">
      <c r="A1836" s="11"/>
      <c r="B1836" s="10" t="s">
        <v>582</v>
      </c>
      <c r="D1836" s="88" t="s">
        <v>50</v>
      </c>
      <c r="E1836" s="89">
        <v>3</v>
      </c>
      <c r="F1836" s="266"/>
      <c r="G1836" s="91"/>
      <c r="H1836" s="266"/>
      <c r="I1836" s="91"/>
      <c r="J1836" s="266"/>
      <c r="K1836" s="91"/>
      <c r="L1836" s="93" t="s">
        <v>50</v>
      </c>
      <c r="M1836" s="13">
        <f>E1836</f>
        <v>3</v>
      </c>
    </row>
    <row r="1837" spans="1:13" s="10" customFormat="1" ht="12.75">
      <c r="A1837" s="11"/>
      <c r="B1837" s="10" t="s">
        <v>548</v>
      </c>
      <c r="E1837" s="99" t="s">
        <v>56</v>
      </c>
      <c r="G1837" s="266"/>
      <c r="H1837" s="266"/>
      <c r="I1837" s="266"/>
      <c r="K1837" s="99"/>
      <c r="M1837" s="12"/>
    </row>
    <row r="1838" spans="1:13" s="10" customFormat="1" ht="12.75">
      <c r="A1838" s="11"/>
      <c r="M1838" s="12"/>
    </row>
    <row r="1839" spans="1:13" s="10" customFormat="1" ht="12.75">
      <c r="A1839" s="11"/>
      <c r="B1839" s="10" t="s">
        <v>593</v>
      </c>
      <c r="D1839" s="88" t="s">
        <v>50</v>
      </c>
      <c r="E1839" s="89">
        <v>3</v>
      </c>
      <c r="F1839" s="266"/>
      <c r="G1839" s="91"/>
      <c r="H1839" s="266"/>
      <c r="I1839" s="91"/>
      <c r="J1839" s="266"/>
      <c r="K1839" s="91"/>
      <c r="L1839" s="93" t="s">
        <v>50</v>
      </c>
      <c r="M1839" s="13">
        <f>E1839</f>
        <v>3</v>
      </c>
    </row>
    <row r="1840" spans="1:13" s="10" customFormat="1" ht="12.75">
      <c r="A1840" s="11"/>
      <c r="B1840" s="10" t="s">
        <v>548</v>
      </c>
      <c r="E1840" s="99" t="s">
        <v>56</v>
      </c>
      <c r="G1840" s="266"/>
      <c r="H1840" s="266"/>
      <c r="I1840" s="266"/>
      <c r="K1840" s="99"/>
      <c r="M1840" s="12"/>
    </row>
    <row r="1841" spans="1:13" s="10" customFormat="1" ht="12.75">
      <c r="A1841" s="11"/>
      <c r="M1841" s="12"/>
    </row>
    <row r="1842" spans="1:13" s="10" customFormat="1" ht="12.75">
      <c r="A1842" s="11"/>
      <c r="B1842" s="10" t="s">
        <v>594</v>
      </c>
      <c r="D1842" s="88" t="s">
        <v>50</v>
      </c>
      <c r="E1842" s="89">
        <v>3</v>
      </c>
      <c r="F1842" s="266"/>
      <c r="G1842" s="91"/>
      <c r="H1842" s="266"/>
      <c r="I1842" s="91"/>
      <c r="J1842" s="266"/>
      <c r="K1842" s="91"/>
      <c r="L1842" s="93" t="s">
        <v>50</v>
      </c>
      <c r="M1842" s="13">
        <f>E1842</f>
        <v>3</v>
      </c>
    </row>
    <row r="1843" spans="1:13" s="10" customFormat="1" ht="12.75">
      <c r="A1843" s="11"/>
      <c r="B1843" s="10" t="s">
        <v>548</v>
      </c>
      <c r="E1843" s="99" t="s">
        <v>56</v>
      </c>
      <c r="G1843" s="266"/>
      <c r="H1843" s="266"/>
      <c r="I1843" s="266"/>
      <c r="K1843" s="99"/>
      <c r="M1843" s="12"/>
    </row>
    <row r="1844" spans="1:13" s="10" customFormat="1" ht="12.75">
      <c r="A1844" s="11"/>
      <c r="M1844" s="12"/>
    </row>
    <row r="1845" spans="1:13" s="10" customFormat="1" ht="12.75">
      <c r="A1845" s="11"/>
      <c r="B1845" s="10" t="s">
        <v>881</v>
      </c>
      <c r="D1845" s="88" t="s">
        <v>50</v>
      </c>
      <c r="E1845" s="89">
        <v>3</v>
      </c>
      <c r="F1845" s="266"/>
      <c r="G1845" s="91"/>
      <c r="H1845" s="266"/>
      <c r="I1845" s="91"/>
      <c r="J1845" s="266"/>
      <c r="K1845" s="91"/>
      <c r="L1845" s="93" t="s">
        <v>50</v>
      </c>
      <c r="M1845" s="13">
        <f>E1845</f>
        <v>3</v>
      </c>
    </row>
    <row r="1846" spans="1:13" s="10" customFormat="1" ht="12.75">
      <c r="A1846" s="11"/>
      <c r="B1846" s="10" t="s">
        <v>615</v>
      </c>
      <c r="E1846" s="99" t="s">
        <v>56</v>
      </c>
      <c r="G1846" s="266"/>
      <c r="H1846" s="266"/>
      <c r="I1846" s="266"/>
      <c r="K1846" s="99"/>
      <c r="M1846" s="12"/>
    </row>
    <row r="1847" spans="1:13" s="10" customFormat="1" ht="12.75">
      <c r="A1847" s="11"/>
      <c r="M1847" s="12"/>
    </row>
    <row r="1848" spans="1:13" s="10" customFormat="1" ht="12.75">
      <c r="A1848" s="11"/>
      <c r="B1848" s="10" t="s">
        <v>882</v>
      </c>
      <c r="D1848" s="88" t="s">
        <v>50</v>
      </c>
      <c r="E1848" s="89">
        <v>3</v>
      </c>
      <c r="F1848" s="266"/>
      <c r="G1848" s="91"/>
      <c r="H1848" s="266"/>
      <c r="I1848" s="91"/>
      <c r="J1848" s="266"/>
      <c r="K1848" s="91"/>
      <c r="L1848" s="93" t="s">
        <v>50</v>
      </c>
      <c r="M1848" s="13">
        <f>E1848</f>
        <v>3</v>
      </c>
    </row>
    <row r="1849" spans="1:13" s="10" customFormat="1" ht="12.75">
      <c r="A1849" s="11"/>
      <c r="B1849" s="10" t="s">
        <v>615</v>
      </c>
      <c r="E1849" s="99" t="s">
        <v>56</v>
      </c>
      <c r="G1849" s="266"/>
      <c r="H1849" s="266"/>
      <c r="I1849" s="266"/>
      <c r="K1849" s="99"/>
      <c r="M1849" s="12"/>
    </row>
    <row r="1850" spans="1:13" s="10" customFormat="1" ht="12.75">
      <c r="A1850" s="11"/>
      <c r="M1850" s="12"/>
    </row>
    <row r="1851" spans="1:13" s="161" customFormat="1" ht="12.75">
      <c r="A1851" s="163"/>
      <c r="B1851" s="161" t="s">
        <v>10</v>
      </c>
      <c r="H1851" s="164"/>
      <c r="I1851" s="165" t="s">
        <v>883</v>
      </c>
      <c r="L1851" s="162" t="s">
        <v>50</v>
      </c>
      <c r="M1851" s="46">
        <f>SUM(M1830:M1848)</f>
        <v>21</v>
      </c>
    </row>
    <row r="1852" spans="1:13" s="161" customFormat="1" ht="12.75">
      <c r="A1852" s="163"/>
      <c r="H1852" s="164"/>
      <c r="I1852" s="165"/>
      <c r="L1852" s="162"/>
      <c r="M1852" s="272"/>
    </row>
    <row r="1853" spans="1:13" s="10" customFormat="1" ht="26.25" customHeight="1">
      <c r="A1853" s="106" t="str">
        <f>ORÇAMENTO!A235</f>
        <v>16.6</v>
      </c>
      <c r="B1853" s="107"/>
      <c r="C1853" s="383" t="str">
        <f>ORÇAMENTO!D235</f>
        <v>TUBO, PVC, SOLDÁVEL, DE 20MM, INSTALADO EM DRENO DE AR CONDICIONADO - FORNECIMENTO E INSTALAÇÃO. AF_08/2022</v>
      </c>
      <c r="D1853" s="383"/>
      <c r="E1853" s="383"/>
      <c r="F1853" s="383"/>
      <c r="G1853" s="383"/>
      <c r="H1853" s="383"/>
      <c r="I1853" s="383"/>
      <c r="J1853" s="383"/>
      <c r="K1853" s="383"/>
      <c r="L1853" s="383"/>
      <c r="M1853" s="108" t="str">
        <f>ORÇAMENTO!E235</f>
        <v>M</v>
      </c>
    </row>
    <row r="1854" spans="1:13" s="10" customFormat="1" ht="12.75">
      <c r="A1854" s="189"/>
      <c r="B1854" s="133"/>
      <c r="C1854" s="150"/>
      <c r="D1854" s="150"/>
      <c r="E1854" s="150"/>
      <c r="F1854" s="150"/>
      <c r="G1854" s="150"/>
      <c r="H1854" s="150"/>
      <c r="I1854" s="150"/>
      <c r="J1854" s="150"/>
      <c r="K1854" s="150"/>
      <c r="L1854" s="150"/>
      <c r="M1854" s="151"/>
    </row>
    <row r="1855" spans="1:13" s="10" customFormat="1" ht="12.75">
      <c r="A1855" s="11"/>
      <c r="B1855" s="10" t="s">
        <v>640</v>
      </c>
      <c r="D1855" s="88" t="s">
        <v>50</v>
      </c>
      <c r="E1855" s="89">
        <v>2.75</v>
      </c>
      <c r="F1855" s="266"/>
      <c r="G1855" s="91"/>
      <c r="H1855" s="266"/>
      <c r="I1855" s="91"/>
      <c r="J1855" s="266"/>
      <c r="K1855" s="91"/>
      <c r="L1855" s="93" t="s">
        <v>50</v>
      </c>
      <c r="M1855" s="13">
        <f>E1855</f>
        <v>2.75</v>
      </c>
    </row>
    <row r="1856" spans="1:13" s="10" customFormat="1" ht="12.75">
      <c r="A1856" s="11"/>
      <c r="B1856" s="10" t="s">
        <v>645</v>
      </c>
      <c r="E1856" s="99" t="s">
        <v>56</v>
      </c>
      <c r="G1856" s="266"/>
      <c r="H1856" s="266"/>
      <c r="I1856" s="266"/>
      <c r="K1856" s="99"/>
      <c r="M1856" s="12"/>
    </row>
    <row r="1857" spans="1:13" s="10" customFormat="1" ht="12.75">
      <c r="A1857" s="11"/>
      <c r="M1857" s="12"/>
    </row>
    <row r="1858" spans="1:13" s="10" customFormat="1" ht="12.75">
      <c r="A1858" s="11"/>
      <c r="B1858" s="10" t="s">
        <v>581</v>
      </c>
      <c r="D1858" s="88" t="s">
        <v>50</v>
      </c>
      <c r="E1858" s="89">
        <v>2.75</v>
      </c>
      <c r="F1858" s="266"/>
      <c r="G1858" s="91"/>
      <c r="H1858" s="266"/>
      <c r="I1858" s="91"/>
      <c r="J1858" s="266"/>
      <c r="K1858" s="91"/>
      <c r="L1858" s="93" t="s">
        <v>50</v>
      </c>
      <c r="M1858" s="13">
        <f>E1858</f>
        <v>2.75</v>
      </c>
    </row>
    <row r="1859" spans="1:13" s="10" customFormat="1" ht="12.75">
      <c r="A1859" s="11"/>
      <c r="B1859" s="10" t="s">
        <v>645</v>
      </c>
      <c r="E1859" s="99" t="s">
        <v>56</v>
      </c>
      <c r="G1859" s="266"/>
      <c r="H1859" s="266"/>
      <c r="I1859" s="266"/>
      <c r="K1859" s="99"/>
      <c r="M1859" s="12"/>
    </row>
    <row r="1860" spans="1:13" s="10" customFormat="1" ht="12.75">
      <c r="A1860" s="11"/>
      <c r="M1860" s="12"/>
    </row>
    <row r="1861" spans="1:13" s="10" customFormat="1" ht="12.75">
      <c r="A1861" s="11"/>
      <c r="B1861" s="10" t="s">
        <v>582</v>
      </c>
      <c r="D1861" s="88" t="s">
        <v>50</v>
      </c>
      <c r="E1861" s="89">
        <v>2.75</v>
      </c>
      <c r="F1861" s="266"/>
      <c r="G1861" s="91"/>
      <c r="H1861" s="266"/>
      <c r="I1861" s="91"/>
      <c r="J1861" s="266"/>
      <c r="K1861" s="91"/>
      <c r="L1861" s="93" t="s">
        <v>50</v>
      </c>
      <c r="M1861" s="13">
        <f>E1861</f>
        <v>2.75</v>
      </c>
    </row>
    <row r="1862" spans="1:13" s="10" customFormat="1" ht="12.75">
      <c r="A1862" s="11"/>
      <c r="B1862" s="10" t="s">
        <v>548</v>
      </c>
      <c r="E1862" s="99" t="s">
        <v>56</v>
      </c>
      <c r="G1862" s="266"/>
      <c r="H1862" s="266"/>
      <c r="I1862" s="266"/>
      <c r="K1862" s="99"/>
      <c r="M1862" s="12"/>
    </row>
    <row r="1863" spans="1:13" s="10" customFormat="1" ht="12.75">
      <c r="A1863" s="11"/>
      <c r="M1863" s="12"/>
    </row>
    <row r="1864" spans="1:13" s="10" customFormat="1" ht="12.75">
      <c r="A1864" s="11"/>
      <c r="B1864" s="10" t="s">
        <v>593</v>
      </c>
      <c r="D1864" s="88" t="s">
        <v>50</v>
      </c>
      <c r="E1864" s="89">
        <v>2.75</v>
      </c>
      <c r="F1864" s="266"/>
      <c r="G1864" s="91"/>
      <c r="H1864" s="266"/>
      <c r="I1864" s="91"/>
      <c r="J1864" s="266"/>
      <c r="K1864" s="91"/>
      <c r="L1864" s="93" t="s">
        <v>50</v>
      </c>
      <c r="M1864" s="13">
        <f>E1864</f>
        <v>2.75</v>
      </c>
    </row>
    <row r="1865" spans="1:13" s="10" customFormat="1" ht="12.75">
      <c r="A1865" s="11"/>
      <c r="B1865" s="10" t="s">
        <v>548</v>
      </c>
      <c r="E1865" s="99" t="s">
        <v>56</v>
      </c>
      <c r="G1865" s="266"/>
      <c r="H1865" s="266"/>
      <c r="I1865" s="266"/>
      <c r="K1865" s="99"/>
      <c r="M1865" s="12"/>
    </row>
    <row r="1866" spans="1:13" s="10" customFormat="1" ht="12.75">
      <c r="A1866" s="11"/>
      <c r="M1866" s="12"/>
    </row>
    <row r="1867" spans="1:13" s="10" customFormat="1" ht="12.75">
      <c r="A1867" s="11"/>
      <c r="B1867" s="10" t="s">
        <v>594</v>
      </c>
      <c r="D1867" s="88" t="s">
        <v>50</v>
      </c>
      <c r="E1867" s="89">
        <v>2.75</v>
      </c>
      <c r="F1867" s="266"/>
      <c r="G1867" s="91"/>
      <c r="H1867" s="266"/>
      <c r="I1867" s="91"/>
      <c r="J1867" s="266"/>
      <c r="K1867" s="91"/>
      <c r="L1867" s="93" t="s">
        <v>50</v>
      </c>
      <c r="M1867" s="13">
        <f>E1867</f>
        <v>2.75</v>
      </c>
    </row>
    <row r="1868" spans="1:13" s="10" customFormat="1" ht="12.75">
      <c r="A1868" s="11"/>
      <c r="B1868" s="10" t="s">
        <v>548</v>
      </c>
      <c r="E1868" s="99" t="s">
        <v>56</v>
      </c>
      <c r="G1868" s="266"/>
      <c r="H1868" s="266"/>
      <c r="I1868" s="266"/>
      <c r="K1868" s="99"/>
      <c r="M1868" s="12"/>
    </row>
    <row r="1869" spans="1:13" s="10" customFormat="1" ht="12.75">
      <c r="A1869" s="11"/>
      <c r="M1869" s="12"/>
    </row>
    <row r="1870" spans="1:13" s="10" customFormat="1" ht="12.75">
      <c r="A1870" s="11"/>
      <c r="B1870" s="10" t="s">
        <v>881</v>
      </c>
      <c r="D1870" s="88" t="s">
        <v>50</v>
      </c>
      <c r="E1870" s="89">
        <v>2.75</v>
      </c>
      <c r="F1870" s="266"/>
      <c r="G1870" s="91"/>
      <c r="H1870" s="266"/>
      <c r="I1870" s="91"/>
      <c r="J1870" s="266"/>
      <c r="K1870" s="91"/>
      <c r="L1870" s="93" t="s">
        <v>50</v>
      </c>
      <c r="M1870" s="13">
        <f>E1870</f>
        <v>2.75</v>
      </c>
    </row>
    <row r="1871" spans="1:13" s="10" customFormat="1" ht="12.75">
      <c r="A1871" s="11"/>
      <c r="B1871" s="10" t="s">
        <v>615</v>
      </c>
      <c r="E1871" s="99" t="s">
        <v>56</v>
      </c>
      <c r="G1871" s="266"/>
      <c r="H1871" s="266"/>
      <c r="I1871" s="266"/>
      <c r="K1871" s="99"/>
      <c r="M1871" s="12"/>
    </row>
    <row r="1872" spans="1:13" s="10" customFormat="1" ht="12.75">
      <c r="A1872" s="11"/>
      <c r="M1872" s="12"/>
    </row>
    <row r="1873" spans="1:13" s="10" customFormat="1" ht="12.75">
      <c r="A1873" s="11"/>
      <c r="B1873" s="10" t="s">
        <v>882</v>
      </c>
      <c r="D1873" s="88" t="s">
        <v>50</v>
      </c>
      <c r="E1873" s="89">
        <v>2.75</v>
      </c>
      <c r="F1873" s="266"/>
      <c r="G1873" s="91"/>
      <c r="H1873" s="266"/>
      <c r="I1873" s="91"/>
      <c r="J1873" s="266"/>
      <c r="K1873" s="91"/>
      <c r="L1873" s="93" t="s">
        <v>50</v>
      </c>
      <c r="M1873" s="13">
        <f>E1873</f>
        <v>2.75</v>
      </c>
    </row>
    <row r="1874" spans="1:13" s="10" customFormat="1" ht="12.75">
      <c r="A1874" s="11"/>
      <c r="B1874" s="10" t="s">
        <v>615</v>
      </c>
      <c r="E1874" s="99" t="s">
        <v>56</v>
      </c>
      <c r="G1874" s="266"/>
      <c r="H1874" s="266"/>
      <c r="I1874" s="266"/>
      <c r="K1874" s="99"/>
      <c r="M1874" s="12"/>
    </row>
    <row r="1875" spans="1:13" s="10" customFormat="1" ht="12.75">
      <c r="A1875" s="11"/>
      <c r="M1875" s="12"/>
    </row>
    <row r="1876" spans="1:13" s="161" customFormat="1" ht="12.75">
      <c r="A1876" s="163"/>
      <c r="B1876" s="161" t="s">
        <v>10</v>
      </c>
      <c r="H1876" s="164"/>
      <c r="I1876" s="165" t="s">
        <v>883</v>
      </c>
      <c r="L1876" s="162" t="s">
        <v>50</v>
      </c>
      <c r="M1876" s="46">
        <f>SUM(M1855:M1873)</f>
        <v>19.25</v>
      </c>
    </row>
    <row r="1877" spans="1:13" s="161" customFormat="1" ht="12.75">
      <c r="A1877" s="163"/>
      <c r="H1877" s="164"/>
      <c r="I1877" s="165"/>
      <c r="L1877" s="162"/>
      <c r="M1877" s="272"/>
    </row>
    <row r="1878" spans="1:13" s="10" customFormat="1" ht="15">
      <c r="A1878" s="16" t="str">
        <f>ORÇAMENTO!A237</f>
        <v>17.</v>
      </c>
      <c r="B1878" s="85"/>
      <c r="C1878" s="386" t="str">
        <f>ORÇAMENTO!B237</f>
        <v>GERENCIAMENTO DE OBRA/FISCALIZAÇÃO</v>
      </c>
      <c r="D1878" s="386"/>
      <c r="E1878" s="386"/>
      <c r="F1878" s="386"/>
      <c r="G1878" s="386"/>
      <c r="H1878" s="386"/>
      <c r="I1878" s="386"/>
      <c r="J1878" s="386"/>
      <c r="K1878" s="386"/>
      <c r="L1878" s="386"/>
      <c r="M1878" s="387"/>
    </row>
    <row r="1879" spans="1:13" s="10" customFormat="1" ht="12.75">
      <c r="A1879" s="11"/>
      <c r="M1879" s="12"/>
    </row>
    <row r="1880" spans="1:13" s="10" customFormat="1" ht="25.5" customHeight="1">
      <c r="A1880" s="38" t="str">
        <f>ORÇAMENTO!A238</f>
        <v>17.1</v>
      </c>
      <c r="B1880" s="86"/>
      <c r="C1880" s="388" t="str">
        <f>ORÇAMENTO!D238</f>
        <v>ENGENHEIRO CIVIL DE OBRA PLENO COM ENCARGOS COMPLEMENTARES</v>
      </c>
      <c r="D1880" s="388"/>
      <c r="E1880" s="388"/>
      <c r="F1880" s="388"/>
      <c r="G1880" s="388"/>
      <c r="H1880" s="388"/>
      <c r="I1880" s="388"/>
      <c r="J1880" s="388"/>
      <c r="K1880" s="388"/>
      <c r="L1880" s="388"/>
      <c r="M1880" s="47" t="str">
        <f>ORÇAMENTO!E238</f>
        <v>H</v>
      </c>
    </row>
    <row r="1881" spans="1:13" s="10" customFormat="1" ht="12.75">
      <c r="A1881" s="5"/>
      <c r="M1881" s="12"/>
    </row>
    <row r="1882" spans="1:13" s="10" customFormat="1" ht="12.75">
      <c r="A1882" s="5"/>
      <c r="B1882" s="87" t="s">
        <v>52</v>
      </c>
      <c r="D1882" s="88" t="s">
        <v>50</v>
      </c>
      <c r="E1882" s="89">
        <f>2*4*6</f>
        <v>48</v>
      </c>
      <c r="F1882" s="90"/>
      <c r="G1882" s="91"/>
      <c r="H1882" s="10" t="s">
        <v>884</v>
      </c>
      <c r="J1882" s="92"/>
      <c r="K1882" s="92"/>
      <c r="L1882" s="93" t="s">
        <v>50</v>
      </c>
      <c r="M1882" s="46">
        <f>E1882</f>
        <v>48</v>
      </c>
    </row>
    <row r="1883" spans="1:13" s="10" customFormat="1" ht="12.75">
      <c r="A1883" s="5"/>
      <c r="E1883" s="39" t="s">
        <v>293</v>
      </c>
      <c r="G1883" s="39"/>
      <c r="M1883" s="12"/>
    </row>
    <row r="1884" spans="1:13" s="10" customFormat="1" ht="12.75">
      <c r="A1884" s="5"/>
      <c r="E1884" s="39"/>
      <c r="G1884" s="39"/>
      <c r="M1884" s="12"/>
    </row>
    <row r="1885" spans="1:13" s="161" customFormat="1" ht="12.75">
      <c r="A1885" s="163"/>
      <c r="B1885" s="161" t="s">
        <v>10</v>
      </c>
      <c r="L1885" s="162" t="s">
        <v>50</v>
      </c>
      <c r="M1885" s="46">
        <f>M1882</f>
        <v>48</v>
      </c>
    </row>
    <row r="1886" spans="1:13" s="10" customFormat="1" ht="12.75">
      <c r="A1886" s="11"/>
      <c r="M1886" s="12"/>
    </row>
    <row r="1887" spans="1:13" s="10" customFormat="1" ht="25.5" customHeight="1">
      <c r="A1887" s="38" t="str">
        <f>ORÇAMENTO!A239</f>
        <v>17.2</v>
      </c>
      <c r="B1887" s="86"/>
      <c r="C1887" s="388" t="str">
        <f>ORÇAMENTO!D239</f>
        <v>ENCARREGADO GERAL COM ENCARGOS COMPLEMENTARES</v>
      </c>
      <c r="D1887" s="388"/>
      <c r="E1887" s="388"/>
      <c r="F1887" s="388"/>
      <c r="G1887" s="388"/>
      <c r="H1887" s="388"/>
      <c r="I1887" s="388"/>
      <c r="J1887" s="388"/>
      <c r="K1887" s="388"/>
      <c r="L1887" s="388"/>
      <c r="M1887" s="47" t="str">
        <f>ORÇAMENTO!E239</f>
        <v>H</v>
      </c>
    </row>
    <row r="1888" spans="1:13" s="10" customFormat="1" ht="12.75">
      <c r="A1888" s="5"/>
      <c r="M1888" s="12"/>
    </row>
    <row r="1889" spans="1:13" s="10" customFormat="1" ht="12.75">
      <c r="A1889" s="5"/>
      <c r="B1889" s="87" t="s">
        <v>52</v>
      </c>
      <c r="D1889" s="88" t="s">
        <v>50</v>
      </c>
      <c r="E1889" s="89">
        <f>5*4*6</f>
        <v>120</v>
      </c>
      <c r="F1889" s="90"/>
      <c r="G1889" s="91"/>
      <c r="H1889" s="267" t="s">
        <v>885</v>
      </c>
      <c r="I1889" s="267"/>
      <c r="J1889" s="92"/>
      <c r="K1889" s="92"/>
      <c r="L1889" s="93" t="s">
        <v>50</v>
      </c>
      <c r="M1889" s="46">
        <f>E1889</f>
        <v>120</v>
      </c>
    </row>
    <row r="1890" spans="1:13" s="10" customFormat="1" ht="12.75">
      <c r="A1890" s="5"/>
      <c r="E1890" s="39" t="s">
        <v>293</v>
      </c>
      <c r="G1890" s="39"/>
      <c r="M1890" s="12"/>
    </row>
    <row r="1891" spans="1:13" s="10" customFormat="1" ht="12.75">
      <c r="A1891" s="5"/>
      <c r="E1891" s="39"/>
      <c r="G1891" s="39"/>
      <c r="M1891" s="12"/>
    </row>
    <row r="1892" spans="1:13" s="161" customFormat="1" ht="12.75">
      <c r="A1892" s="163"/>
      <c r="B1892" s="161" t="s">
        <v>10</v>
      </c>
      <c r="L1892" s="162" t="s">
        <v>50</v>
      </c>
      <c r="M1892" s="46">
        <f>M1889</f>
        <v>120</v>
      </c>
    </row>
    <row r="1893" spans="1:13" s="10" customFormat="1" ht="12.75">
      <c r="A1893" s="11"/>
      <c r="M1893" s="12"/>
    </row>
    <row r="1894" spans="1:13" ht="15">
      <c r="A1894" s="16" t="str">
        <f>ORÇAMENTO!A241</f>
        <v>18.</v>
      </c>
      <c r="B1894" s="85"/>
      <c r="C1894" s="384" t="str">
        <f>ORÇAMENTO!B241</f>
        <v>SERVIÇOS COMPLEMENTARES</v>
      </c>
      <c r="D1894" s="384"/>
      <c r="E1894" s="384"/>
      <c r="F1894" s="384"/>
      <c r="G1894" s="384"/>
      <c r="H1894" s="384"/>
      <c r="I1894" s="384"/>
      <c r="J1894" s="384"/>
      <c r="K1894" s="384"/>
      <c r="L1894" s="384"/>
      <c r="M1894" s="385"/>
    </row>
    <row r="1895" spans="1:13">
      <c r="A1895" s="43"/>
      <c r="M1895" s="44"/>
    </row>
    <row r="1896" spans="1:13" s="10" customFormat="1" ht="26.25" customHeight="1">
      <c r="A1896" s="38" t="str">
        <f>ORÇAMENTO!A242</f>
        <v>18.1</v>
      </c>
      <c r="B1896" s="86"/>
      <c r="C1896" s="388" t="str">
        <f>ORÇAMENTO!D242</f>
        <v>LIMPEZA FINAL PARA ENTREGA DA OBRA</v>
      </c>
      <c r="D1896" s="388"/>
      <c r="E1896" s="388"/>
      <c r="F1896" s="388"/>
      <c r="G1896" s="388"/>
      <c r="H1896" s="388"/>
      <c r="I1896" s="388"/>
      <c r="J1896" s="388"/>
      <c r="K1896" s="388"/>
      <c r="L1896" s="388"/>
      <c r="M1896" s="47" t="str">
        <f>ORÇAMENTO!E242</f>
        <v>M2</v>
      </c>
    </row>
    <row r="1897" spans="1:13">
      <c r="A1897" s="5"/>
      <c r="B1897" s="10"/>
      <c r="C1897" s="10"/>
      <c r="D1897" s="10"/>
      <c r="E1897" s="10"/>
      <c r="F1897" s="10"/>
      <c r="G1897" s="10"/>
      <c r="H1897" s="10"/>
      <c r="I1897" s="10"/>
      <c r="J1897" s="10"/>
      <c r="K1897" s="10"/>
      <c r="L1897" s="10"/>
      <c r="M1897" s="12"/>
    </row>
    <row r="1898" spans="1:13">
      <c r="A1898" s="5"/>
      <c r="B1898" s="10" t="s">
        <v>121</v>
      </c>
      <c r="C1898" s="10"/>
      <c r="D1898" s="88" t="s">
        <v>50</v>
      </c>
      <c r="E1898" s="89">
        <v>449.71</v>
      </c>
      <c r="F1898" s="90"/>
      <c r="G1898" s="91"/>
      <c r="H1898" s="90"/>
      <c r="I1898" s="91"/>
      <c r="J1898" s="92"/>
      <c r="K1898" s="92"/>
      <c r="L1898" s="93" t="s">
        <v>50</v>
      </c>
      <c r="M1898" s="13">
        <f>E1898</f>
        <v>449.71</v>
      </c>
    </row>
    <row r="1899" spans="1:13">
      <c r="A1899" s="5"/>
      <c r="B1899" s="10" t="s">
        <v>161</v>
      </c>
      <c r="C1899" s="10"/>
      <c r="D1899" s="10"/>
      <c r="E1899" s="39" t="s">
        <v>121</v>
      </c>
      <c r="F1899" s="10"/>
      <c r="G1899" s="39"/>
      <c r="H1899" s="10"/>
      <c r="I1899" s="39"/>
      <c r="J1899" s="10"/>
      <c r="K1899" s="10"/>
      <c r="L1899" s="10"/>
      <c r="M1899" s="12"/>
    </row>
    <row r="1900" spans="1:13">
      <c r="A1900" s="5"/>
      <c r="B1900" s="87"/>
      <c r="C1900" s="10"/>
      <c r="D1900" s="10"/>
      <c r="E1900" s="39"/>
      <c r="F1900" s="6"/>
      <c r="G1900" s="10"/>
      <c r="H1900" s="10"/>
      <c r="I1900" s="10"/>
      <c r="J1900" s="10"/>
      <c r="K1900" s="10"/>
      <c r="L1900" s="10"/>
      <c r="M1900" s="12"/>
    </row>
    <row r="1901" spans="1:13" s="170" customFormat="1" ht="15">
      <c r="A1901" s="163"/>
      <c r="B1901" s="166" t="s">
        <v>10</v>
      </c>
      <c r="C1901" s="161"/>
      <c r="D1901" s="167" t="s">
        <v>50</v>
      </c>
      <c r="E1901" s="102"/>
      <c r="F1901" s="168"/>
      <c r="G1901" s="102"/>
      <c r="H1901" s="168"/>
      <c r="I1901" s="165" t="s">
        <v>265</v>
      </c>
      <c r="J1901" s="169"/>
      <c r="K1901" s="169"/>
      <c r="L1901" s="162" t="s">
        <v>50</v>
      </c>
      <c r="M1901" s="46">
        <f>SUM(M1898)</f>
        <v>449.71</v>
      </c>
    </row>
    <row r="1902" spans="1:13">
      <c r="A1902" s="11"/>
      <c r="B1902" s="87"/>
      <c r="C1902" s="10"/>
      <c r="D1902" s="10"/>
      <c r="E1902" s="39"/>
      <c r="F1902" s="10"/>
      <c r="G1902" s="39"/>
      <c r="H1902" s="10"/>
      <c r="I1902" s="39"/>
      <c r="J1902" s="10"/>
      <c r="K1902" s="10"/>
      <c r="L1902" s="10"/>
      <c r="M1902" s="12"/>
    </row>
    <row r="1903" spans="1:13" s="10" customFormat="1" ht="41.25" customHeight="1">
      <c r="A1903" s="38" t="str">
        <f>ORÇAMENTO!A243</f>
        <v>18.2</v>
      </c>
      <c r="B1903" s="86"/>
      <c r="C1903" s="388" t="str">
        <f>ORÇAMENTO!D243</f>
        <v>LIMPEZA PERMANENTE DA OBRA - 01 SERVENTE X 4 HORAS DIÁRIAS</v>
      </c>
      <c r="D1903" s="388"/>
      <c r="E1903" s="388"/>
      <c r="F1903" s="388"/>
      <c r="G1903" s="388"/>
      <c r="H1903" s="388"/>
      <c r="I1903" s="388"/>
      <c r="J1903" s="388"/>
      <c r="K1903" s="388"/>
      <c r="L1903" s="388"/>
      <c r="M1903" s="47" t="str">
        <f>ORÇAMENTO!E243</f>
        <v>MÊS</v>
      </c>
    </row>
    <row r="1904" spans="1:13">
      <c r="A1904" s="5"/>
      <c r="B1904" s="10"/>
      <c r="C1904" s="10"/>
      <c r="D1904" s="10"/>
      <c r="E1904" s="10"/>
      <c r="F1904" s="10"/>
      <c r="G1904" s="10"/>
      <c r="H1904" s="10"/>
      <c r="I1904" s="10"/>
      <c r="J1904" s="10"/>
      <c r="K1904" s="10"/>
      <c r="L1904" s="10"/>
      <c r="M1904" s="12"/>
    </row>
    <row r="1905" spans="1:13">
      <c r="A1905" s="5"/>
      <c r="B1905" s="10" t="s">
        <v>330</v>
      </c>
      <c r="C1905" s="10"/>
      <c r="D1905" s="88" t="s">
        <v>50</v>
      </c>
      <c r="E1905" s="89">
        <f>6</f>
        <v>6</v>
      </c>
      <c r="F1905" s="90"/>
      <c r="G1905" s="91"/>
      <c r="H1905" s="90"/>
      <c r="I1905" s="91"/>
      <c r="J1905" s="92"/>
      <c r="K1905" s="92"/>
      <c r="L1905" s="93" t="s">
        <v>50</v>
      </c>
      <c r="M1905" s="13">
        <f>E1905</f>
        <v>6</v>
      </c>
    </row>
    <row r="1906" spans="1:13">
      <c r="A1906" s="5"/>
      <c r="B1906" s="10"/>
      <c r="C1906" s="10"/>
      <c r="D1906" s="10"/>
      <c r="E1906" s="39" t="s">
        <v>136</v>
      </c>
      <c r="F1906" s="10"/>
      <c r="G1906" s="39"/>
      <c r="H1906" s="10"/>
      <c r="I1906" s="39"/>
      <c r="J1906" s="10"/>
      <c r="K1906" s="10"/>
      <c r="L1906" s="10"/>
      <c r="M1906" s="12"/>
    </row>
    <row r="1907" spans="1:13">
      <c r="A1907" s="5"/>
      <c r="B1907" s="87"/>
      <c r="C1907" s="10"/>
      <c r="D1907" s="10"/>
      <c r="E1907" s="39"/>
      <c r="F1907" s="6"/>
      <c r="G1907" s="10"/>
      <c r="H1907" s="10"/>
      <c r="I1907" s="10"/>
      <c r="J1907" s="10"/>
      <c r="K1907" s="10"/>
      <c r="L1907" s="10"/>
      <c r="M1907" s="12"/>
    </row>
    <row r="1908" spans="1:13" s="170" customFormat="1" ht="15">
      <c r="A1908" s="163"/>
      <c r="B1908" s="166" t="s">
        <v>10</v>
      </c>
      <c r="C1908" s="161"/>
      <c r="D1908" s="167" t="s">
        <v>50</v>
      </c>
      <c r="E1908" s="102"/>
      <c r="F1908" s="168"/>
      <c r="G1908" s="102"/>
      <c r="H1908" s="168"/>
      <c r="I1908" s="102"/>
      <c r="J1908" s="169"/>
      <c r="K1908" s="169"/>
      <c r="L1908" s="162" t="s">
        <v>50</v>
      </c>
      <c r="M1908" s="46">
        <f>SUM(M1905)</f>
        <v>6</v>
      </c>
    </row>
    <row r="1909" spans="1:13">
      <c r="A1909" s="11"/>
      <c r="B1909" s="87"/>
      <c r="C1909" s="10"/>
      <c r="D1909" s="10"/>
      <c r="E1909" s="39"/>
      <c r="F1909" s="10"/>
      <c r="G1909" s="39"/>
      <c r="H1909" s="10"/>
      <c r="I1909" s="39"/>
      <c r="J1909" s="10"/>
      <c r="K1909" s="10"/>
      <c r="L1909" s="10"/>
      <c r="M1909" s="12"/>
    </row>
    <row r="1910" spans="1:13" s="10" customFormat="1" ht="26.25" customHeight="1">
      <c r="A1910" s="38" t="str">
        <f>ORÇAMENTO!A244</f>
        <v>18.3</v>
      </c>
      <c r="B1910" s="86"/>
      <c r="C1910" s="388" t="str">
        <f>ORÇAMENTO!D244</f>
        <v>BARRA DE APOIO EM AÇO INOX POLIDO RETA, DN 1.1/4" (31,75MM), PARA ACESSIBILIDADE (PMR/PCR), COMPRIMENTO 80CM, INSTALADO EM PAREDE, INCLUSIVE FORNECIMENTO, INSTALAÇÃO E ACESSÓRIOS PARA FIXAÇÃO</v>
      </c>
      <c r="D1910" s="388"/>
      <c r="E1910" s="388"/>
      <c r="F1910" s="388"/>
      <c r="G1910" s="388"/>
      <c r="H1910" s="388"/>
      <c r="I1910" s="388"/>
      <c r="J1910" s="388"/>
      <c r="K1910" s="388"/>
      <c r="L1910" s="388"/>
      <c r="M1910" s="47" t="str">
        <f>ORÇAMENTO!E244</f>
        <v>UN</v>
      </c>
    </row>
    <row r="1911" spans="1:13" s="10" customFormat="1" ht="12.75">
      <c r="A1911" s="11"/>
      <c r="M1911" s="12"/>
    </row>
    <row r="1912" spans="1:13" s="10" customFormat="1" ht="12.75">
      <c r="A1912" s="11"/>
      <c r="B1912" s="87" t="s">
        <v>867</v>
      </c>
      <c r="D1912" s="88" t="s">
        <v>50</v>
      </c>
      <c r="E1912" s="89">
        <v>3</v>
      </c>
      <c r="F1912" s="90"/>
      <c r="G1912" s="91"/>
      <c r="H1912" s="90"/>
      <c r="I1912" s="91"/>
      <c r="J1912" s="92"/>
      <c r="K1912" s="92"/>
      <c r="L1912" s="93" t="s">
        <v>50</v>
      </c>
      <c r="M1912" s="13">
        <f>E1912</f>
        <v>3</v>
      </c>
    </row>
    <row r="1913" spans="1:13" s="10" customFormat="1" ht="12.75">
      <c r="A1913" s="11"/>
      <c r="B1913" s="87" t="s">
        <v>200</v>
      </c>
      <c r="E1913" s="39" t="s">
        <v>219</v>
      </c>
      <c r="G1913" s="39"/>
      <c r="I1913" s="39"/>
      <c r="M1913" s="12"/>
    </row>
    <row r="1914" spans="1:13" s="10" customFormat="1" ht="12.75" customHeight="1">
      <c r="A1914" s="11"/>
      <c r="B1914" s="87"/>
      <c r="E1914" s="39"/>
      <c r="G1914" s="39"/>
      <c r="I1914" s="39"/>
      <c r="M1914" s="12"/>
    </row>
    <row r="1915" spans="1:13" s="10" customFormat="1" ht="12.75">
      <c r="A1915" s="11"/>
      <c r="B1915" s="87" t="s">
        <v>868</v>
      </c>
      <c r="D1915" s="88" t="s">
        <v>50</v>
      </c>
      <c r="E1915" s="89">
        <v>3</v>
      </c>
      <c r="F1915" s="90"/>
      <c r="G1915" s="91"/>
      <c r="H1915" s="90"/>
      <c r="I1915" s="91"/>
      <c r="J1915" s="92"/>
      <c r="K1915" s="92"/>
      <c r="L1915" s="93" t="s">
        <v>50</v>
      </c>
      <c r="M1915" s="13">
        <f>E1915</f>
        <v>3</v>
      </c>
    </row>
    <row r="1916" spans="1:13" s="10" customFormat="1" ht="12.75">
      <c r="A1916" s="11"/>
      <c r="B1916" s="87" t="s">
        <v>200</v>
      </c>
      <c r="E1916" s="39" t="s">
        <v>219</v>
      </c>
      <c r="G1916" s="39"/>
      <c r="I1916" s="39"/>
      <c r="M1916" s="12"/>
    </row>
    <row r="1917" spans="1:13" s="10" customFormat="1" ht="12.75" customHeight="1">
      <c r="A1917" s="11"/>
      <c r="B1917" s="87"/>
      <c r="E1917" s="39"/>
      <c r="G1917" s="39"/>
      <c r="I1917" s="39"/>
      <c r="M1917" s="12"/>
    </row>
    <row r="1918" spans="1:13" s="161" customFormat="1" ht="12.75">
      <c r="A1918" s="163"/>
      <c r="B1918" s="166" t="s">
        <v>10</v>
      </c>
      <c r="L1918" s="162" t="s">
        <v>50</v>
      </c>
      <c r="M1918" s="46">
        <f>SUM(M1912:M1915)</f>
        <v>6</v>
      </c>
    </row>
    <row r="1919" spans="1:13" s="10" customFormat="1" ht="12.75">
      <c r="A1919" s="11"/>
      <c r="M1919" s="12"/>
    </row>
    <row r="1920" spans="1:13" s="10" customFormat="1" ht="26.25" customHeight="1">
      <c r="A1920" s="38" t="str">
        <f>ORÇAMENTO!A245</f>
        <v>18.4</v>
      </c>
      <c r="B1920" s="86"/>
      <c r="C1920" s="388" t="str">
        <f>ORÇAMENTO!D245</f>
        <v>BARRA DE APOIO EM AÇO INOX POLIDO RETA, DN 1.1/4" (31,75MM), PARA ACESSIBILIDADE (PMR/PCR), COMPRIMENTO 90CM, INSTALADO EM PAREDE, INCLUSIVE FORNECIMENTO, INSTALAÇÃO E ACESSÓRIOS PARA FIXAÇÃO</v>
      </c>
      <c r="D1920" s="388"/>
      <c r="E1920" s="388"/>
      <c r="F1920" s="388"/>
      <c r="G1920" s="388"/>
      <c r="H1920" s="388"/>
      <c r="I1920" s="388"/>
      <c r="J1920" s="388"/>
      <c r="K1920" s="388"/>
      <c r="L1920" s="388"/>
      <c r="M1920" s="47" t="str">
        <f>ORÇAMENTO!E245</f>
        <v>UN</v>
      </c>
    </row>
    <row r="1921" spans="1:13" s="10" customFormat="1" ht="12.75">
      <c r="A1921" s="11"/>
      <c r="M1921" s="12"/>
    </row>
    <row r="1922" spans="1:13" s="10" customFormat="1" ht="12.75">
      <c r="A1922" s="11"/>
      <c r="B1922" s="87" t="s">
        <v>867</v>
      </c>
      <c r="D1922" s="88" t="s">
        <v>50</v>
      </c>
      <c r="E1922" s="89">
        <v>2</v>
      </c>
      <c r="F1922" s="90"/>
      <c r="G1922" s="91"/>
      <c r="H1922" s="90"/>
      <c r="I1922" s="91"/>
      <c r="J1922" s="92"/>
      <c r="K1922" s="92"/>
      <c r="L1922" s="93" t="s">
        <v>50</v>
      </c>
      <c r="M1922" s="13">
        <f>E1922</f>
        <v>2</v>
      </c>
    </row>
    <row r="1923" spans="1:13" s="10" customFormat="1" ht="12.75">
      <c r="A1923" s="11"/>
      <c r="B1923" s="87" t="s">
        <v>200</v>
      </c>
      <c r="E1923" s="39" t="s">
        <v>219</v>
      </c>
      <c r="G1923" s="39"/>
      <c r="I1923" s="39"/>
      <c r="M1923" s="12"/>
    </row>
    <row r="1924" spans="1:13" s="10" customFormat="1" ht="12.75" customHeight="1">
      <c r="A1924" s="11"/>
      <c r="B1924" s="87"/>
      <c r="E1924" s="39"/>
      <c r="G1924" s="39"/>
      <c r="I1924" s="39"/>
      <c r="M1924" s="12"/>
    </row>
    <row r="1925" spans="1:13" s="10" customFormat="1" ht="12.75">
      <c r="A1925" s="11"/>
      <c r="B1925" s="87" t="s">
        <v>868</v>
      </c>
      <c r="D1925" s="88" t="s">
        <v>50</v>
      </c>
      <c r="E1925" s="89">
        <v>2</v>
      </c>
      <c r="F1925" s="90"/>
      <c r="G1925" s="91"/>
      <c r="H1925" s="90"/>
      <c r="I1925" s="91"/>
      <c r="J1925" s="92"/>
      <c r="K1925" s="92"/>
      <c r="L1925" s="93" t="s">
        <v>50</v>
      </c>
      <c r="M1925" s="13">
        <f>E1925</f>
        <v>2</v>
      </c>
    </row>
    <row r="1926" spans="1:13" s="10" customFormat="1" ht="12.75">
      <c r="A1926" s="11"/>
      <c r="B1926" s="87" t="s">
        <v>200</v>
      </c>
      <c r="E1926" s="39" t="s">
        <v>219</v>
      </c>
      <c r="G1926" s="39"/>
      <c r="I1926" s="39"/>
      <c r="M1926" s="12"/>
    </row>
    <row r="1927" spans="1:13" s="10" customFormat="1" ht="12.75" customHeight="1">
      <c r="A1927" s="11"/>
      <c r="B1927" s="87"/>
      <c r="E1927" s="39"/>
      <c r="G1927" s="39"/>
      <c r="I1927" s="39"/>
      <c r="M1927" s="12"/>
    </row>
    <row r="1928" spans="1:13" s="161" customFormat="1" ht="12.75">
      <c r="A1928" s="163"/>
      <c r="B1928" s="166" t="s">
        <v>10</v>
      </c>
      <c r="L1928" s="162" t="s">
        <v>50</v>
      </c>
      <c r="M1928" s="46">
        <f>SUM(M1922:M1925)</f>
        <v>4</v>
      </c>
    </row>
    <row r="1929" spans="1:13" s="10" customFormat="1" ht="12.75">
      <c r="A1929" s="11"/>
      <c r="M1929" s="12"/>
    </row>
    <row r="1930" spans="1:13" s="10" customFormat="1" ht="26.25" customHeight="1">
      <c r="A1930" s="38" t="str">
        <f>ORÇAMENTO!A246</f>
        <v>18.5</v>
      </c>
      <c r="B1930" s="86"/>
      <c r="C1930" s="388" t="str">
        <f>ORÇAMENTO!D246</f>
        <v>BARRA DE APOIO EM AÇO INOX POLIDO RETA, DN 1.1/4" (31,75MM), PARA ACESSIBILIDADE (PMR/PCR), COMPRIMENTO 70CM, INSTALADO EM PAREDE, INCLUSIVE FORNECIMENTO, INSTALAÇÃO E ACESSÓRIOS PARA FIXAÇÃO</v>
      </c>
      <c r="D1930" s="388"/>
      <c r="E1930" s="388"/>
      <c r="F1930" s="388"/>
      <c r="G1930" s="388"/>
      <c r="H1930" s="388"/>
      <c r="I1930" s="388"/>
      <c r="J1930" s="388"/>
      <c r="K1930" s="388"/>
      <c r="L1930" s="388"/>
      <c r="M1930" s="47" t="str">
        <f>ORÇAMENTO!E246</f>
        <v>UN</v>
      </c>
    </row>
    <row r="1931" spans="1:13" s="10" customFormat="1" ht="12.75">
      <c r="A1931" s="11"/>
      <c r="M1931" s="12"/>
    </row>
    <row r="1932" spans="1:13" s="10" customFormat="1" ht="12.75">
      <c r="A1932" s="11"/>
      <c r="B1932" s="87" t="s">
        <v>867</v>
      </c>
      <c r="D1932" s="88" t="s">
        <v>50</v>
      </c>
      <c r="E1932" s="89">
        <v>3</v>
      </c>
      <c r="F1932" s="90"/>
      <c r="G1932" s="91"/>
      <c r="H1932" s="90"/>
      <c r="I1932" s="91"/>
      <c r="J1932" s="92"/>
      <c r="K1932" s="92"/>
      <c r="L1932" s="93" t="s">
        <v>50</v>
      </c>
      <c r="M1932" s="13">
        <f>E1932</f>
        <v>3</v>
      </c>
    </row>
    <row r="1933" spans="1:13" s="10" customFormat="1" ht="12.75">
      <c r="A1933" s="11"/>
      <c r="B1933" s="87" t="s">
        <v>200</v>
      </c>
      <c r="E1933" s="39" t="s">
        <v>219</v>
      </c>
      <c r="G1933" s="39"/>
      <c r="I1933" s="39"/>
      <c r="M1933" s="12"/>
    </row>
    <row r="1934" spans="1:13" s="10" customFormat="1" ht="12.75" customHeight="1">
      <c r="A1934" s="11"/>
      <c r="B1934" s="87"/>
      <c r="E1934" s="39"/>
      <c r="G1934" s="39"/>
      <c r="I1934" s="39"/>
      <c r="M1934" s="12"/>
    </row>
    <row r="1935" spans="1:13" s="10" customFormat="1" ht="12.75">
      <c r="A1935" s="11"/>
      <c r="B1935" s="87" t="s">
        <v>868</v>
      </c>
      <c r="D1935" s="88" t="s">
        <v>50</v>
      </c>
      <c r="E1935" s="89">
        <v>3</v>
      </c>
      <c r="F1935" s="90"/>
      <c r="G1935" s="91"/>
      <c r="H1935" s="90"/>
      <c r="I1935" s="91"/>
      <c r="J1935" s="92"/>
      <c r="K1935" s="92"/>
      <c r="L1935" s="93" t="s">
        <v>50</v>
      </c>
      <c r="M1935" s="13">
        <f>E1935</f>
        <v>3</v>
      </c>
    </row>
    <row r="1936" spans="1:13" s="10" customFormat="1" ht="12.75">
      <c r="A1936" s="11"/>
      <c r="B1936" s="87" t="s">
        <v>200</v>
      </c>
      <c r="E1936" s="39" t="s">
        <v>219</v>
      </c>
      <c r="G1936" s="39"/>
      <c r="I1936" s="39"/>
      <c r="M1936" s="12"/>
    </row>
    <row r="1937" spans="1:13" s="10" customFormat="1" ht="12.75" customHeight="1">
      <c r="A1937" s="11"/>
      <c r="B1937" s="87"/>
      <c r="E1937" s="39"/>
      <c r="G1937" s="39"/>
      <c r="I1937" s="39"/>
      <c r="M1937" s="12"/>
    </row>
    <row r="1938" spans="1:13" s="161" customFormat="1" ht="12.75">
      <c r="A1938" s="163"/>
      <c r="B1938" s="166" t="s">
        <v>10</v>
      </c>
      <c r="L1938" s="162" t="s">
        <v>50</v>
      </c>
      <c r="M1938" s="46">
        <f>SUM(M1932:M1935)</f>
        <v>6</v>
      </c>
    </row>
    <row r="1939" spans="1:13" s="10" customFormat="1" ht="12.75">
      <c r="A1939" s="11"/>
      <c r="M1939" s="12"/>
    </row>
    <row r="1940" spans="1:13" s="10" customFormat="1" ht="26.25" customHeight="1">
      <c r="A1940" s="38" t="str">
        <f>ORÇAMENTO!A247</f>
        <v>18.6</v>
      </c>
      <c r="B1940" s="86"/>
      <c r="C1940" s="388" t="str">
        <f>ORÇAMENTO!D247</f>
        <v>BARRA DE APOIO EM AÇO INOX POLIDO RETA, DN 1.1/4" (31,75MM), PARA ACESSIBILIDADE (PMR/PCR), COMPRIMENTO 40CM, INSTALADO EM PORTA/PAREDE, INCLUSIVE FORNECIMENTO, INSTALAÇÃO E ACESSÓRIOS PARA FIXAÇÃO</v>
      </c>
      <c r="D1940" s="388"/>
      <c r="E1940" s="388"/>
      <c r="F1940" s="388"/>
      <c r="G1940" s="388"/>
      <c r="H1940" s="388"/>
      <c r="I1940" s="388"/>
      <c r="J1940" s="388"/>
      <c r="K1940" s="388"/>
      <c r="L1940" s="388"/>
      <c r="M1940" s="47" t="str">
        <f>ORÇAMENTO!E247</f>
        <v>UN</v>
      </c>
    </row>
    <row r="1941" spans="1:13" s="10" customFormat="1" ht="12.75">
      <c r="A1941" s="11"/>
      <c r="M1941" s="12"/>
    </row>
    <row r="1942" spans="1:13" s="10" customFormat="1" ht="12.75">
      <c r="A1942" s="11"/>
      <c r="B1942" s="87" t="s">
        <v>867</v>
      </c>
      <c r="D1942" s="88" t="s">
        <v>50</v>
      </c>
      <c r="E1942" s="89">
        <v>2</v>
      </c>
      <c r="F1942" s="90"/>
      <c r="G1942" s="91"/>
      <c r="H1942" s="90"/>
      <c r="I1942" s="91"/>
      <c r="J1942" s="92"/>
      <c r="K1942" s="92"/>
      <c r="L1942" s="93" t="s">
        <v>50</v>
      </c>
      <c r="M1942" s="13">
        <f>E1942</f>
        <v>2</v>
      </c>
    </row>
    <row r="1943" spans="1:13" s="10" customFormat="1" ht="12.75">
      <c r="A1943" s="11"/>
      <c r="B1943" s="87" t="s">
        <v>200</v>
      </c>
      <c r="E1943" s="39" t="s">
        <v>219</v>
      </c>
      <c r="G1943" s="39"/>
      <c r="I1943" s="39"/>
      <c r="M1943" s="12"/>
    </row>
    <row r="1944" spans="1:13" s="10" customFormat="1" ht="12.75" customHeight="1">
      <c r="A1944" s="11"/>
      <c r="B1944" s="87"/>
      <c r="E1944" s="39"/>
      <c r="G1944" s="39"/>
      <c r="I1944" s="39"/>
      <c r="M1944" s="12"/>
    </row>
    <row r="1945" spans="1:13" s="10" customFormat="1" ht="12.75">
      <c r="A1945" s="11"/>
      <c r="B1945" s="87" t="s">
        <v>868</v>
      </c>
      <c r="D1945" s="88" t="s">
        <v>50</v>
      </c>
      <c r="E1945" s="89">
        <v>2</v>
      </c>
      <c r="F1945" s="90"/>
      <c r="G1945" s="91"/>
      <c r="H1945" s="90"/>
      <c r="I1945" s="91"/>
      <c r="J1945" s="92"/>
      <c r="K1945" s="92"/>
      <c r="L1945" s="93" t="s">
        <v>50</v>
      </c>
      <c r="M1945" s="13">
        <f>E1945</f>
        <v>2</v>
      </c>
    </row>
    <row r="1946" spans="1:13" s="10" customFormat="1" ht="12.75">
      <c r="A1946" s="11"/>
      <c r="B1946" s="87" t="s">
        <v>200</v>
      </c>
      <c r="E1946" s="39" t="s">
        <v>219</v>
      </c>
      <c r="G1946" s="39"/>
      <c r="I1946" s="39"/>
      <c r="M1946" s="12"/>
    </row>
    <row r="1947" spans="1:13" s="10" customFormat="1" ht="12.75" customHeight="1">
      <c r="A1947" s="11"/>
      <c r="B1947" s="87"/>
      <c r="E1947" s="39"/>
      <c r="G1947" s="39"/>
      <c r="I1947" s="39"/>
      <c r="M1947" s="12"/>
    </row>
    <row r="1948" spans="1:13" s="161" customFormat="1" ht="12.75">
      <c r="A1948" s="163"/>
      <c r="B1948" s="166" t="s">
        <v>10</v>
      </c>
      <c r="L1948" s="162" t="s">
        <v>50</v>
      </c>
      <c r="M1948" s="46">
        <f>SUM(M1942:M1945)</f>
        <v>4</v>
      </c>
    </row>
    <row r="1949" spans="1:13" s="10" customFormat="1" ht="12.75">
      <c r="A1949" s="11"/>
      <c r="M1949" s="12"/>
    </row>
    <row r="1950" spans="1:13" s="10" customFormat="1" ht="26.25" customHeight="1">
      <c r="A1950" s="38" t="str">
        <f>ORÇAMENTO!A248</f>
        <v>18.7</v>
      </c>
      <c r="B1950" s="86"/>
      <c r="C1950" s="388" t="str">
        <f>ORÇAMENTO!D248</f>
        <v>PAPELEIRA PLASTICA TIPO DISPENSER PARA PAPEL HIGIENICO ROLAO</v>
      </c>
      <c r="D1950" s="388"/>
      <c r="E1950" s="388"/>
      <c r="F1950" s="388"/>
      <c r="G1950" s="388"/>
      <c r="H1950" s="388"/>
      <c r="I1950" s="388"/>
      <c r="J1950" s="388"/>
      <c r="K1950" s="388"/>
      <c r="L1950" s="388"/>
      <c r="M1950" s="47" t="str">
        <f>ORÇAMENTO!E248</f>
        <v>UN</v>
      </c>
    </row>
    <row r="1951" spans="1:13" s="10" customFormat="1" ht="12.75">
      <c r="A1951" s="11"/>
      <c r="M1951" s="12"/>
    </row>
    <row r="1952" spans="1:13" s="10" customFormat="1" ht="12.75">
      <c r="A1952" s="11"/>
      <c r="B1952" s="87" t="s">
        <v>867</v>
      </c>
      <c r="D1952" s="88" t="s">
        <v>50</v>
      </c>
      <c r="E1952" s="89">
        <v>1</v>
      </c>
      <c r="F1952" s="90"/>
      <c r="G1952" s="91"/>
      <c r="H1952" s="90"/>
      <c r="I1952" s="91"/>
      <c r="J1952" s="92"/>
      <c r="K1952" s="92"/>
      <c r="L1952" s="93" t="s">
        <v>50</v>
      </c>
      <c r="M1952" s="13">
        <f>E1952</f>
        <v>1</v>
      </c>
    </row>
    <row r="1953" spans="1:13" s="10" customFormat="1" ht="12.75">
      <c r="A1953" s="11"/>
      <c r="B1953" s="87" t="s">
        <v>200</v>
      </c>
      <c r="E1953" s="39" t="s">
        <v>219</v>
      </c>
      <c r="G1953" s="39"/>
      <c r="I1953" s="39"/>
      <c r="M1953" s="12"/>
    </row>
    <row r="1954" spans="1:13" s="10" customFormat="1" ht="12.75" customHeight="1">
      <c r="A1954" s="11"/>
      <c r="B1954" s="87"/>
      <c r="E1954" s="39"/>
      <c r="G1954" s="39"/>
      <c r="I1954" s="39"/>
      <c r="M1954" s="12"/>
    </row>
    <row r="1955" spans="1:13" s="10" customFormat="1" ht="12.75">
      <c r="A1955" s="11"/>
      <c r="B1955" s="87" t="s">
        <v>868</v>
      </c>
      <c r="D1955" s="88" t="s">
        <v>50</v>
      </c>
      <c r="E1955" s="89">
        <v>1</v>
      </c>
      <c r="F1955" s="90"/>
      <c r="G1955" s="91"/>
      <c r="H1955" s="90"/>
      <c r="I1955" s="91"/>
      <c r="J1955" s="92"/>
      <c r="K1955" s="92"/>
      <c r="L1955" s="93" t="s">
        <v>50</v>
      </c>
      <c r="M1955" s="13">
        <f>E1955</f>
        <v>1</v>
      </c>
    </row>
    <row r="1956" spans="1:13" s="10" customFormat="1" ht="12.75">
      <c r="A1956" s="11"/>
      <c r="B1956" s="87" t="s">
        <v>200</v>
      </c>
      <c r="E1956" s="39" t="s">
        <v>219</v>
      </c>
      <c r="G1956" s="39"/>
      <c r="I1956" s="39"/>
      <c r="M1956" s="12"/>
    </row>
    <row r="1957" spans="1:13" s="10" customFormat="1" ht="12.75" customHeight="1">
      <c r="A1957" s="11"/>
      <c r="B1957" s="87"/>
      <c r="E1957" s="39"/>
      <c r="G1957" s="39"/>
      <c r="I1957" s="39"/>
      <c r="M1957" s="12"/>
    </row>
    <row r="1958" spans="1:13" s="161" customFormat="1" ht="12.75">
      <c r="A1958" s="163"/>
      <c r="B1958" s="166" t="s">
        <v>10</v>
      </c>
      <c r="L1958" s="162" t="s">
        <v>50</v>
      </c>
      <c r="M1958" s="46">
        <f>SUM(M1952:M1955)</f>
        <v>2</v>
      </c>
    </row>
    <row r="1959" spans="1:13" s="10" customFormat="1" ht="12.75">
      <c r="A1959" s="11"/>
      <c r="M1959" s="12"/>
    </row>
    <row r="1960" spans="1:13" s="10" customFormat="1" ht="26.25" customHeight="1">
      <c r="A1960" s="38" t="str">
        <f>ORÇAMENTO!A249</f>
        <v>18.8</v>
      </c>
      <c r="B1960" s="86"/>
      <c r="C1960" s="388" t="str">
        <f>ORÇAMENTO!D249</f>
        <v>SABONETEIRA PLASTICA TIPO DISPENSER PARA SABONETE LIQUIDO COM RESERVATORIO 800 ML</v>
      </c>
      <c r="D1960" s="388"/>
      <c r="E1960" s="388"/>
      <c r="F1960" s="388"/>
      <c r="G1960" s="388"/>
      <c r="H1960" s="388"/>
      <c r="I1960" s="388"/>
      <c r="J1960" s="388"/>
      <c r="K1960" s="388"/>
      <c r="L1960" s="388"/>
      <c r="M1960" s="47" t="str">
        <f>ORÇAMENTO!E249</f>
        <v>UN</v>
      </c>
    </row>
    <row r="1961" spans="1:13" s="10" customFormat="1" ht="12.75">
      <c r="A1961" s="11"/>
      <c r="M1961" s="12"/>
    </row>
    <row r="1962" spans="1:13" s="10" customFormat="1" ht="12.75">
      <c r="A1962" s="11"/>
      <c r="B1962" s="87" t="s">
        <v>867</v>
      </c>
      <c r="D1962" s="88" t="s">
        <v>50</v>
      </c>
      <c r="E1962" s="89">
        <v>1</v>
      </c>
      <c r="F1962" s="90"/>
      <c r="G1962" s="91"/>
      <c r="H1962" s="90"/>
      <c r="I1962" s="91"/>
      <c r="J1962" s="92"/>
      <c r="K1962" s="92"/>
      <c r="L1962" s="93" t="s">
        <v>50</v>
      </c>
      <c r="M1962" s="13">
        <f>E1962</f>
        <v>1</v>
      </c>
    </row>
    <row r="1963" spans="1:13" s="10" customFormat="1" ht="12.75">
      <c r="A1963" s="11"/>
      <c r="B1963" s="87" t="s">
        <v>200</v>
      </c>
      <c r="E1963" s="39" t="s">
        <v>219</v>
      </c>
      <c r="G1963" s="39"/>
      <c r="I1963" s="39"/>
      <c r="M1963" s="12"/>
    </row>
    <row r="1964" spans="1:13" s="10" customFormat="1" ht="12.75" customHeight="1">
      <c r="A1964" s="11"/>
      <c r="B1964" s="87"/>
      <c r="E1964" s="39"/>
      <c r="G1964" s="39"/>
      <c r="I1964" s="39"/>
      <c r="M1964" s="12"/>
    </row>
    <row r="1965" spans="1:13" s="10" customFormat="1" ht="12.75">
      <c r="A1965" s="11"/>
      <c r="B1965" s="87" t="s">
        <v>868</v>
      </c>
      <c r="D1965" s="88" t="s">
        <v>50</v>
      </c>
      <c r="E1965" s="89">
        <v>1</v>
      </c>
      <c r="F1965" s="90"/>
      <c r="G1965" s="91"/>
      <c r="H1965" s="90"/>
      <c r="I1965" s="91"/>
      <c r="J1965" s="92"/>
      <c r="K1965" s="92"/>
      <c r="L1965" s="93" t="s">
        <v>50</v>
      </c>
      <c r="M1965" s="13">
        <f>E1965</f>
        <v>1</v>
      </c>
    </row>
    <row r="1966" spans="1:13" s="10" customFormat="1" ht="12.75">
      <c r="A1966" s="11"/>
      <c r="B1966" s="87" t="s">
        <v>200</v>
      </c>
      <c r="E1966" s="39" t="s">
        <v>219</v>
      </c>
      <c r="G1966" s="39"/>
      <c r="I1966" s="39"/>
      <c r="M1966" s="12"/>
    </row>
    <row r="1967" spans="1:13" s="10" customFormat="1" ht="12.75" customHeight="1">
      <c r="A1967" s="11"/>
      <c r="B1967" s="87"/>
      <c r="E1967" s="39"/>
      <c r="G1967" s="39"/>
      <c r="I1967" s="39"/>
      <c r="M1967" s="12"/>
    </row>
    <row r="1968" spans="1:13" s="161" customFormat="1" ht="12.75">
      <c r="A1968" s="163"/>
      <c r="B1968" s="166" t="s">
        <v>10</v>
      </c>
      <c r="L1968" s="162" t="s">
        <v>50</v>
      </c>
      <c r="M1968" s="46">
        <f>SUM(M1962:M1965)</f>
        <v>2</v>
      </c>
    </row>
    <row r="1969" spans="1:13" s="10" customFormat="1" ht="12.75">
      <c r="A1969" s="11"/>
      <c r="M1969" s="12"/>
    </row>
    <row r="1970" spans="1:13" s="10" customFormat="1" ht="39" customHeight="1">
      <c r="A1970" s="106" t="str">
        <f>ORÇAMENTO!A250</f>
        <v>18.9</v>
      </c>
      <c r="B1970" s="107"/>
      <c r="C1970" s="383" t="str">
        <f>ORÇAMENTO!D250</f>
        <v>FURO DE BOJO EM BANCADA DE GRANITO/MÁRMORE, INCLUSIVE COLAGEM COM MASSA PLÁSTICA</v>
      </c>
      <c r="D1970" s="383"/>
      <c r="E1970" s="383"/>
      <c r="F1970" s="383"/>
      <c r="G1970" s="383"/>
      <c r="H1970" s="383"/>
      <c r="I1970" s="383"/>
      <c r="J1970" s="383"/>
      <c r="K1970" s="383"/>
      <c r="L1970" s="383"/>
      <c r="M1970" s="108" t="str">
        <f>ORÇAMENTO!E250</f>
        <v>UN</v>
      </c>
    </row>
    <row r="1971" spans="1:13" s="10" customFormat="1" ht="12.75">
      <c r="A1971" s="11"/>
      <c r="M1971" s="12"/>
    </row>
    <row r="1972" spans="1:13" s="10" customFormat="1" ht="12.75">
      <c r="A1972" s="11"/>
      <c r="B1972" s="87" t="s">
        <v>869</v>
      </c>
      <c r="D1972" s="88" t="s">
        <v>50</v>
      </c>
      <c r="E1972" s="89">
        <v>1</v>
      </c>
      <c r="F1972" s="90"/>
      <c r="G1972" s="91"/>
      <c r="H1972" s="90"/>
      <c r="I1972" s="91"/>
      <c r="J1972" s="92"/>
      <c r="K1972" s="92"/>
      <c r="L1972" s="93" t="s">
        <v>50</v>
      </c>
      <c r="M1972" s="13">
        <f>E1972</f>
        <v>1</v>
      </c>
    </row>
    <row r="1973" spans="1:13" s="10" customFormat="1" ht="12.75">
      <c r="A1973" s="11"/>
      <c r="B1973" s="87" t="s">
        <v>200</v>
      </c>
      <c r="E1973" s="39" t="s">
        <v>134</v>
      </c>
      <c r="G1973" s="39"/>
      <c r="I1973" s="39"/>
      <c r="M1973" s="12"/>
    </row>
    <row r="1974" spans="1:13" s="10" customFormat="1" ht="12.75" customHeight="1">
      <c r="A1974" s="11"/>
      <c r="B1974" s="87"/>
      <c r="E1974" s="39"/>
      <c r="G1974" s="39"/>
      <c r="I1974" s="39"/>
      <c r="M1974" s="12"/>
    </row>
    <row r="1975" spans="1:13" s="161" customFormat="1" ht="12.75">
      <c r="A1975" s="163"/>
      <c r="B1975" s="161" t="s">
        <v>10</v>
      </c>
      <c r="E1975" s="161" t="s">
        <v>149</v>
      </c>
      <c r="I1975" s="165" t="s">
        <v>265</v>
      </c>
      <c r="L1975" s="162" t="s">
        <v>50</v>
      </c>
      <c r="M1975" s="46">
        <f>SUM(M1972)</f>
        <v>1</v>
      </c>
    </row>
    <row r="1976" spans="1:13" s="10" customFormat="1" ht="12.75">
      <c r="A1976" s="11"/>
      <c r="M1976" s="12"/>
    </row>
    <row r="1977" spans="1:13" s="10" customFormat="1" ht="26.25" customHeight="1">
      <c r="A1977" s="38" t="str">
        <f>ORÇAMENTO!A251</f>
        <v>18.10</v>
      </c>
      <c r="B1977" s="86"/>
      <c r="C1977" s="388" t="str">
        <f>ORÇAMENTO!D251</f>
        <v>CORRIMÃO SIMPLES EM TUBO GALVANIZADO, COM COSTURA, DIÂMETRO 1.1/2", ESP. 3MM, FIXADO EM ALVENARIA, INCLUSIVE SUPORTE PARA CORRIMÃO EM BARRA CHATA (1"X1/2"), EXCLUSIVE PINTURA</v>
      </c>
      <c r="D1977" s="388"/>
      <c r="E1977" s="388"/>
      <c r="F1977" s="388"/>
      <c r="G1977" s="388"/>
      <c r="H1977" s="388"/>
      <c r="I1977" s="388"/>
      <c r="J1977" s="388"/>
      <c r="K1977" s="388"/>
      <c r="L1977" s="388"/>
      <c r="M1977" s="47" t="str">
        <f>ORÇAMENTO!E251</f>
        <v>M</v>
      </c>
    </row>
    <row r="1978" spans="1:13" s="10" customFormat="1" ht="12.75">
      <c r="A1978" s="11"/>
      <c r="M1978" s="12"/>
    </row>
    <row r="1979" spans="1:13" s="10" customFormat="1" ht="12.75">
      <c r="A1979" s="11"/>
      <c r="B1979" s="10" t="s">
        <v>428</v>
      </c>
      <c r="D1979" s="88" t="s">
        <v>50</v>
      </c>
      <c r="E1979" s="89">
        <f>E1318</f>
        <v>39.72</v>
      </c>
      <c r="F1979" s="90"/>
      <c r="H1979" s="90"/>
      <c r="I1979" s="91"/>
      <c r="J1979" s="90"/>
      <c r="K1979" s="91"/>
      <c r="L1979" s="93" t="s">
        <v>50</v>
      </c>
      <c r="M1979" s="13">
        <f>E1979</f>
        <v>39.72</v>
      </c>
    </row>
    <row r="1980" spans="1:13" s="10" customFormat="1" ht="12.75">
      <c r="A1980" s="11"/>
      <c r="B1980" s="10" t="s">
        <v>870</v>
      </c>
      <c r="E1980" s="99" t="s">
        <v>301</v>
      </c>
      <c r="G1980" s="90"/>
      <c r="H1980" s="90"/>
      <c r="I1980" s="90"/>
      <c r="K1980" s="99"/>
      <c r="M1980" s="12"/>
    </row>
    <row r="1981" spans="1:13" s="10" customFormat="1" ht="12.75">
      <c r="A1981" s="11"/>
      <c r="M1981" s="12"/>
    </row>
    <row r="1982" spans="1:13" s="161" customFormat="1" ht="12.75">
      <c r="A1982" s="163"/>
      <c r="B1982" s="161" t="s">
        <v>10</v>
      </c>
      <c r="E1982" s="161" t="s">
        <v>149</v>
      </c>
      <c r="H1982" s="164"/>
      <c r="I1982" s="165" t="s">
        <v>265</v>
      </c>
      <c r="L1982" s="162" t="s">
        <v>50</v>
      </c>
      <c r="M1982" s="46">
        <f>SUM(M1979)</f>
        <v>39.72</v>
      </c>
    </row>
    <row r="1983" spans="1:13" s="10" customFormat="1" ht="12.75">
      <c r="A1983" s="11"/>
      <c r="H1983" s="132"/>
      <c r="I1983" s="94"/>
      <c r="L1983" s="93"/>
      <c r="M1983" s="158"/>
    </row>
    <row r="1984" spans="1:13" s="10" customFormat="1" ht="42.75" customHeight="1">
      <c r="A1984" s="38" t="str">
        <f>ORÇAMENTO!A252</f>
        <v>18.11</v>
      </c>
      <c r="B1984" s="86"/>
      <c r="C1984" s="388" t="str">
        <f>ORÇAMENTO!D252</f>
        <v>DEMOLIÇÃO MANUAL DE CONSTRUÇÃO EM ALVENARIAS DE VEDAÇÃO, COM ESPESSURA MÁXIMA DE 15CM, INCLUSIVE REMOÇÃO COM REAPROVEITAMENTO DE ESQUADRIAS, AFASTAMENTO E EMPILHAMENTO, EXCLUSIVE TRANSPORTE E RETIRADA DO MATERIAL DEMOLIDO/REMOVIDO NÃO REAPROVEITÁVEL</v>
      </c>
      <c r="D1984" s="388"/>
      <c r="E1984" s="388"/>
      <c r="F1984" s="388"/>
      <c r="G1984" s="388"/>
      <c r="H1984" s="388"/>
      <c r="I1984" s="388"/>
      <c r="J1984" s="388"/>
      <c r="K1984" s="388"/>
      <c r="L1984" s="388"/>
      <c r="M1984" s="47" t="str">
        <f>ORÇAMENTO!E252</f>
        <v>M2</v>
      </c>
    </row>
    <row r="1985" spans="1:13" s="10" customFormat="1" ht="12.75">
      <c r="A1985" s="11"/>
      <c r="M1985" s="12"/>
    </row>
    <row r="1986" spans="1:13" s="10" customFormat="1" ht="12.75">
      <c r="A1986" s="11"/>
      <c r="B1986" s="10" t="s">
        <v>406</v>
      </c>
      <c r="D1986" s="88" t="s">
        <v>50</v>
      </c>
      <c r="E1986" s="141">
        <v>1.52</v>
      </c>
      <c r="F1986" s="257" t="s">
        <v>69</v>
      </c>
      <c r="G1986" s="89">
        <v>3.15</v>
      </c>
      <c r="H1986" s="257"/>
      <c r="I1986" s="91"/>
      <c r="J1986" s="257"/>
      <c r="K1986" s="91"/>
      <c r="L1986" s="93" t="s">
        <v>50</v>
      </c>
      <c r="M1986" s="13">
        <f>E1986*G1986</f>
        <v>4.7880000000000003</v>
      </c>
    </row>
    <row r="1987" spans="1:13" s="10" customFormat="1" ht="12.75">
      <c r="A1987" s="11"/>
      <c r="B1987" s="10" t="s">
        <v>645</v>
      </c>
      <c r="E1987" s="138" t="s">
        <v>120</v>
      </c>
      <c r="G1987" s="10" t="s">
        <v>264</v>
      </c>
      <c r="H1987" s="257"/>
      <c r="I1987" s="257"/>
      <c r="K1987" s="99"/>
      <c r="M1987" s="12"/>
    </row>
    <row r="1988" spans="1:13" s="10" customFormat="1" ht="12.75">
      <c r="A1988" s="11"/>
      <c r="M1988" s="12"/>
    </row>
    <row r="1989" spans="1:13" s="10" customFormat="1" ht="12.75">
      <c r="A1989" s="11"/>
      <c r="B1989" s="10" t="s">
        <v>589</v>
      </c>
      <c r="D1989" s="88" t="s">
        <v>50</v>
      </c>
      <c r="E1989" s="141">
        <f>15.434+6.8</f>
        <v>22.233999999999998</v>
      </c>
      <c r="F1989" s="211" t="s">
        <v>69</v>
      </c>
      <c r="G1989" s="89">
        <v>3.15</v>
      </c>
      <c r="H1989" s="211"/>
      <c r="I1989" s="91"/>
      <c r="J1989" s="211"/>
      <c r="K1989" s="91"/>
      <c r="L1989" s="93" t="s">
        <v>50</v>
      </c>
      <c r="M1989" s="13">
        <f>E1989*G1989</f>
        <v>70.037099999999995</v>
      </c>
    </row>
    <row r="1990" spans="1:13" s="10" customFormat="1" ht="12.75">
      <c r="A1990" s="11"/>
      <c r="B1990" s="10" t="s">
        <v>645</v>
      </c>
      <c r="E1990" s="138" t="s">
        <v>120</v>
      </c>
      <c r="G1990" s="10" t="s">
        <v>264</v>
      </c>
      <c r="H1990" s="211"/>
      <c r="I1990" s="211"/>
      <c r="K1990" s="99"/>
      <c r="M1990" s="12"/>
    </row>
    <row r="1991" spans="1:13" s="10" customFormat="1" ht="12.75">
      <c r="A1991" s="11"/>
      <c r="M1991" s="12"/>
    </row>
    <row r="1992" spans="1:13" s="10" customFormat="1" ht="12.75">
      <c r="A1992" s="11"/>
      <c r="B1992" s="10" t="s">
        <v>871</v>
      </c>
      <c r="D1992" s="88" t="s">
        <v>50</v>
      </c>
      <c r="E1992" s="141">
        <v>0.8</v>
      </c>
      <c r="F1992" s="211" t="s">
        <v>69</v>
      </c>
      <c r="G1992" s="89">
        <v>2.1</v>
      </c>
      <c r="H1992" s="211"/>
      <c r="I1992" s="91"/>
      <c r="J1992" s="211"/>
      <c r="K1992" s="91"/>
      <c r="L1992" s="93" t="s">
        <v>50</v>
      </c>
      <c r="M1992" s="13">
        <f>E1992*G1992</f>
        <v>1.6800000000000002</v>
      </c>
    </row>
    <row r="1993" spans="1:13" s="10" customFormat="1" ht="12.75">
      <c r="A1993" s="11"/>
      <c r="B1993" s="10" t="s">
        <v>645</v>
      </c>
      <c r="E1993" s="138" t="s">
        <v>120</v>
      </c>
      <c r="G1993" s="10" t="s">
        <v>264</v>
      </c>
      <c r="H1993" s="211"/>
      <c r="I1993" s="211"/>
      <c r="K1993" s="99"/>
      <c r="M1993" s="12"/>
    </row>
    <row r="1994" spans="1:13" s="10" customFormat="1" ht="12.75">
      <c r="A1994" s="11"/>
      <c r="M1994" s="12"/>
    </row>
    <row r="1995" spans="1:13" s="10" customFormat="1" ht="12.75">
      <c r="A1995" s="11"/>
      <c r="B1995" s="10" t="s">
        <v>592</v>
      </c>
      <c r="D1995" s="88" t="s">
        <v>50</v>
      </c>
      <c r="E1995" s="141">
        <v>0.9</v>
      </c>
      <c r="F1995" s="257" t="s">
        <v>69</v>
      </c>
      <c r="G1995" s="89">
        <v>2.1</v>
      </c>
      <c r="H1995" s="257"/>
      <c r="I1995" s="91"/>
      <c r="J1995" s="257"/>
      <c r="K1995" s="91"/>
      <c r="L1995" s="93" t="s">
        <v>50</v>
      </c>
      <c r="M1995" s="13">
        <f>E1995*G1995</f>
        <v>1.8900000000000001</v>
      </c>
    </row>
    <row r="1996" spans="1:13" s="10" customFormat="1" ht="12.75">
      <c r="A1996" s="11"/>
      <c r="B1996" s="10" t="s">
        <v>548</v>
      </c>
      <c r="E1996" s="138" t="s">
        <v>120</v>
      </c>
      <c r="G1996" s="10" t="s">
        <v>264</v>
      </c>
      <c r="H1996" s="257"/>
      <c r="I1996" s="257"/>
      <c r="K1996" s="99"/>
      <c r="M1996" s="12"/>
    </row>
    <row r="1997" spans="1:13" s="10" customFormat="1" ht="12.75">
      <c r="A1997" s="11"/>
      <c r="M1997" s="12"/>
    </row>
    <row r="1998" spans="1:13" s="10" customFormat="1" ht="12.75">
      <c r="A1998" s="11"/>
      <c r="B1998" s="10" t="s">
        <v>866</v>
      </c>
      <c r="D1998" s="88" t="s">
        <v>50</v>
      </c>
      <c r="E1998" s="141">
        <v>3.1</v>
      </c>
      <c r="F1998" s="257" t="s">
        <v>69</v>
      </c>
      <c r="G1998" s="89">
        <v>3.15</v>
      </c>
      <c r="H1998" s="257"/>
      <c r="I1998" s="91"/>
      <c r="J1998" s="257"/>
      <c r="K1998" s="91"/>
      <c r="L1998" s="93" t="s">
        <v>50</v>
      </c>
      <c r="M1998" s="13">
        <f>E1998*G1998</f>
        <v>9.7650000000000006</v>
      </c>
    </row>
    <row r="1999" spans="1:13" s="10" customFormat="1" ht="12.75">
      <c r="A1999" s="11"/>
      <c r="B1999" s="10" t="s">
        <v>548</v>
      </c>
      <c r="E1999" s="138" t="s">
        <v>120</v>
      </c>
      <c r="G1999" s="10" t="s">
        <v>264</v>
      </c>
      <c r="H1999" s="257"/>
      <c r="I1999" s="257"/>
      <c r="K1999" s="99"/>
      <c r="M1999" s="12"/>
    </row>
    <row r="2000" spans="1:13" s="10" customFormat="1" ht="12.75">
      <c r="A2000" s="11"/>
      <c r="M2000" s="12"/>
    </row>
    <row r="2001" spans="1:13" s="10" customFormat="1" ht="12.75">
      <c r="A2001" s="11"/>
      <c r="B2001" s="10" t="s">
        <v>872</v>
      </c>
      <c r="D2001" s="88" t="s">
        <v>50</v>
      </c>
      <c r="E2001" s="141">
        <v>3.13</v>
      </c>
      <c r="F2001" s="257" t="s">
        <v>69</v>
      </c>
      <c r="G2001" s="89">
        <v>3.15</v>
      </c>
      <c r="H2001" s="257"/>
      <c r="I2001" s="91"/>
      <c r="J2001" s="257"/>
      <c r="K2001" s="91"/>
      <c r="L2001" s="93" t="s">
        <v>50</v>
      </c>
      <c r="M2001" s="13">
        <f>E2001*G2001</f>
        <v>9.8594999999999988</v>
      </c>
    </row>
    <row r="2002" spans="1:13" s="10" customFormat="1" ht="12.75">
      <c r="A2002" s="11"/>
      <c r="B2002" s="10" t="s">
        <v>548</v>
      </c>
      <c r="E2002" s="138" t="s">
        <v>120</v>
      </c>
      <c r="G2002" s="10" t="s">
        <v>264</v>
      </c>
      <c r="H2002" s="257"/>
      <c r="I2002" s="257"/>
      <c r="K2002" s="99"/>
      <c r="M2002" s="12"/>
    </row>
    <row r="2003" spans="1:13" s="10" customFormat="1" ht="12.75">
      <c r="A2003" s="11"/>
      <c r="M2003" s="12"/>
    </row>
    <row r="2004" spans="1:13" s="10" customFormat="1" ht="12.75">
      <c r="A2004" s="11"/>
      <c r="B2004" s="10" t="s">
        <v>578</v>
      </c>
      <c r="D2004" s="88" t="s">
        <v>50</v>
      </c>
      <c r="E2004" s="141">
        <v>1.4</v>
      </c>
      <c r="F2004" s="257" t="s">
        <v>69</v>
      </c>
      <c r="G2004" s="89">
        <v>3.15</v>
      </c>
      <c r="H2004" s="257"/>
      <c r="I2004" s="91"/>
      <c r="J2004" s="257"/>
      <c r="K2004" s="91"/>
      <c r="L2004" s="93" t="s">
        <v>50</v>
      </c>
      <c r="M2004" s="13">
        <f>E2004*G2004</f>
        <v>4.4099999999999993</v>
      </c>
    </row>
    <row r="2005" spans="1:13" s="10" customFormat="1" ht="12.75">
      <c r="A2005" s="11"/>
      <c r="B2005" s="10" t="s">
        <v>548</v>
      </c>
      <c r="E2005" s="138" t="s">
        <v>120</v>
      </c>
      <c r="G2005" s="10" t="s">
        <v>264</v>
      </c>
      <c r="H2005" s="257"/>
      <c r="I2005" s="257"/>
      <c r="K2005" s="99"/>
      <c r="M2005" s="12"/>
    </row>
    <row r="2006" spans="1:13" s="10" customFormat="1" ht="12.75">
      <c r="A2006" s="11"/>
      <c r="M2006" s="12"/>
    </row>
    <row r="2007" spans="1:13" s="10" customFormat="1" ht="12.75">
      <c r="A2007" s="11"/>
      <c r="B2007" s="10" t="s">
        <v>579</v>
      </c>
      <c r="D2007" s="88" t="s">
        <v>50</v>
      </c>
      <c r="E2007" s="141">
        <v>1.4</v>
      </c>
      <c r="F2007" s="257" t="s">
        <v>69</v>
      </c>
      <c r="G2007" s="89">
        <v>3.15</v>
      </c>
      <c r="H2007" s="257"/>
      <c r="I2007" s="91"/>
      <c r="J2007" s="257"/>
      <c r="K2007" s="91"/>
      <c r="L2007" s="93" t="s">
        <v>50</v>
      </c>
      <c r="M2007" s="13">
        <f>E2007*G2007</f>
        <v>4.4099999999999993</v>
      </c>
    </row>
    <row r="2008" spans="1:13" s="10" customFormat="1" ht="12.75">
      <c r="A2008" s="11"/>
      <c r="B2008" s="10" t="s">
        <v>548</v>
      </c>
      <c r="E2008" s="138" t="s">
        <v>120</v>
      </c>
      <c r="G2008" s="10" t="s">
        <v>264</v>
      </c>
      <c r="H2008" s="257"/>
      <c r="I2008" s="257"/>
      <c r="K2008" s="99"/>
      <c r="M2008" s="12"/>
    </row>
    <row r="2009" spans="1:13" s="10" customFormat="1" ht="12.75">
      <c r="A2009" s="11"/>
      <c r="M2009" s="12"/>
    </row>
    <row r="2010" spans="1:13" s="10" customFormat="1" ht="12.75">
      <c r="A2010" s="11"/>
      <c r="B2010" s="10" t="s">
        <v>908</v>
      </c>
      <c r="D2010" s="88" t="s">
        <v>50</v>
      </c>
      <c r="E2010" s="141">
        <f>1.5+0.05+0.05</f>
        <v>1.6</v>
      </c>
      <c r="F2010" s="266" t="s">
        <v>69</v>
      </c>
      <c r="G2010" s="89">
        <v>1.2</v>
      </c>
      <c r="H2010" s="266"/>
      <c r="I2010" s="91"/>
      <c r="J2010" s="266"/>
      <c r="K2010" s="91"/>
      <c r="L2010" s="93" t="s">
        <v>50</v>
      </c>
      <c r="M2010" s="13">
        <f>E2010*G2010</f>
        <v>1.92</v>
      </c>
    </row>
    <row r="2011" spans="1:13" s="10" customFormat="1" ht="12.75">
      <c r="A2011" s="11"/>
      <c r="B2011" s="10" t="s">
        <v>548</v>
      </c>
      <c r="E2011" s="138" t="s">
        <v>120</v>
      </c>
      <c r="G2011" s="10" t="s">
        <v>264</v>
      </c>
      <c r="H2011" s="266"/>
      <c r="I2011" s="266"/>
      <c r="K2011" s="99"/>
      <c r="M2011" s="12"/>
    </row>
    <row r="2012" spans="1:13" s="10" customFormat="1" ht="12.75">
      <c r="A2012" s="11"/>
      <c r="M2012" s="12"/>
    </row>
    <row r="2013" spans="1:13" s="161" customFormat="1" ht="12.75">
      <c r="A2013" s="163"/>
      <c r="B2013" s="161" t="s">
        <v>10</v>
      </c>
      <c r="E2013" s="161" t="s">
        <v>149</v>
      </c>
      <c r="H2013" s="164"/>
      <c r="I2013" s="165" t="s">
        <v>265</v>
      </c>
      <c r="L2013" s="162" t="s">
        <v>50</v>
      </c>
      <c r="M2013" s="46">
        <f>SUM(M1986:M2010)</f>
        <v>108.75959999999999</v>
      </c>
    </row>
    <row r="2014" spans="1:13" s="10" customFormat="1" ht="12.75">
      <c r="A2014" s="11"/>
      <c r="H2014" s="132"/>
      <c r="I2014" s="94"/>
      <c r="L2014" s="93"/>
      <c r="M2014" s="158"/>
    </row>
    <row r="2015" spans="1:13" s="10" customFormat="1" ht="42.75" customHeight="1">
      <c r="A2015" s="38" t="str">
        <f>ORÇAMENTO!A253</f>
        <v>18.12</v>
      </c>
      <c r="B2015" s="86"/>
      <c r="C2015" s="388" t="str">
        <f>ORÇAMENTO!D253</f>
        <v>DEMOLIÇÃO MANUAL DE PISO CERÂMICO OU LADRILHO HIDRÁULICO, INCLUSIVE AFASTAMENTO E EMPILHAMENTO, EXCLUSIVE DEMOLIÇÃO DE CONTRAPISO, TRANSPORTE E RETIRADA DO MATERIAL DEMOLIDO</v>
      </c>
      <c r="D2015" s="388"/>
      <c r="E2015" s="388"/>
      <c r="F2015" s="388"/>
      <c r="G2015" s="388"/>
      <c r="H2015" s="388"/>
      <c r="I2015" s="388"/>
      <c r="J2015" s="388"/>
      <c r="K2015" s="388"/>
      <c r="L2015" s="388"/>
      <c r="M2015" s="47" t="str">
        <f>ORÇAMENTO!E253</f>
        <v>M2</v>
      </c>
    </row>
    <row r="2016" spans="1:13" s="10" customFormat="1" ht="12.75">
      <c r="A2016" s="11"/>
      <c r="M2016" s="12"/>
    </row>
    <row r="2017" spans="1:13" customFormat="1" ht="12.75">
      <c r="A2017" s="136"/>
      <c r="B2017" s="10" t="s">
        <v>573</v>
      </c>
      <c r="D2017" s="140" t="s">
        <v>50</v>
      </c>
      <c r="E2017" s="141">
        <v>3.12</v>
      </c>
      <c r="F2017" s="142"/>
      <c r="G2017" s="148"/>
      <c r="H2017" s="142"/>
      <c r="I2017" s="143"/>
      <c r="J2017" s="144"/>
      <c r="K2017" s="144"/>
      <c r="L2017" s="145" t="s">
        <v>50</v>
      </c>
      <c r="M2017" s="146">
        <f>E2017</f>
        <v>3.12</v>
      </c>
    </row>
    <row r="2018" spans="1:13" customFormat="1" ht="12.75">
      <c r="A2018" s="136"/>
      <c r="B2018" s="10" t="s">
        <v>548</v>
      </c>
      <c r="E2018" s="138" t="s">
        <v>121</v>
      </c>
      <c r="G2018" s="138"/>
      <c r="I2018" s="138"/>
      <c r="M2018" s="139"/>
    </row>
    <row r="2019" spans="1:13" customFormat="1" ht="12.75">
      <c r="A2019" s="136"/>
      <c r="B2019" s="137"/>
      <c r="E2019" s="138"/>
      <c r="G2019" s="138"/>
      <c r="I2019" s="138"/>
      <c r="M2019" s="139"/>
    </row>
    <row r="2020" spans="1:13" customFormat="1" ht="12.75">
      <c r="A2020" s="136"/>
      <c r="B2020" s="10" t="s">
        <v>574</v>
      </c>
      <c r="D2020" s="140" t="s">
        <v>50</v>
      </c>
      <c r="E2020" s="141">
        <v>3.4319999999999999</v>
      </c>
      <c r="F2020" s="142"/>
      <c r="G2020" s="148"/>
      <c r="H2020" s="142"/>
      <c r="I2020" s="143"/>
      <c r="J2020" s="144"/>
      <c r="K2020" s="144"/>
      <c r="L2020" s="145" t="s">
        <v>50</v>
      </c>
      <c r="M2020" s="146">
        <f>E2020</f>
        <v>3.4319999999999999</v>
      </c>
    </row>
    <row r="2021" spans="1:13" customFormat="1" ht="12.75">
      <c r="A2021" s="136"/>
      <c r="B2021" s="10" t="s">
        <v>548</v>
      </c>
      <c r="E2021" s="138" t="s">
        <v>121</v>
      </c>
      <c r="G2021" s="138"/>
      <c r="I2021" s="138"/>
      <c r="M2021" s="139"/>
    </row>
    <row r="2022" spans="1:13" customFormat="1" ht="12.75">
      <c r="A2022" s="136"/>
      <c r="B2022" s="137"/>
      <c r="E2022" s="138"/>
      <c r="G2022" s="138"/>
      <c r="I2022" s="138"/>
      <c r="M2022" s="139"/>
    </row>
    <row r="2023" spans="1:13" customFormat="1" ht="12.75">
      <c r="A2023" s="136"/>
      <c r="B2023" s="10" t="s">
        <v>575</v>
      </c>
      <c r="D2023" s="140" t="s">
        <v>50</v>
      </c>
      <c r="E2023" s="141">
        <v>1.9</v>
      </c>
      <c r="F2023" s="142"/>
      <c r="G2023" s="148"/>
      <c r="H2023" s="142"/>
      <c r="I2023" s="143"/>
      <c r="J2023" s="144"/>
      <c r="K2023" s="144"/>
      <c r="L2023" s="145" t="s">
        <v>50</v>
      </c>
      <c r="M2023" s="146">
        <f>E2023</f>
        <v>1.9</v>
      </c>
    </row>
    <row r="2024" spans="1:13" customFormat="1" ht="12.75">
      <c r="A2024" s="136"/>
      <c r="B2024" s="10" t="s">
        <v>548</v>
      </c>
      <c r="E2024" s="138" t="s">
        <v>121</v>
      </c>
      <c r="G2024" s="138"/>
      <c r="I2024" s="138"/>
      <c r="M2024" s="139"/>
    </row>
    <row r="2025" spans="1:13" customFormat="1" ht="12.75">
      <c r="A2025" s="136"/>
      <c r="B2025" s="137"/>
      <c r="E2025" s="138"/>
      <c r="G2025" s="138"/>
      <c r="I2025" s="138"/>
      <c r="M2025" s="139"/>
    </row>
    <row r="2026" spans="1:13" customFormat="1" ht="12.75">
      <c r="A2026" s="136"/>
      <c r="B2026" s="10" t="s">
        <v>861</v>
      </c>
      <c r="D2026" s="140" t="s">
        <v>50</v>
      </c>
      <c r="E2026" s="141">
        <v>3.1219999999999999</v>
      </c>
      <c r="F2026" s="142"/>
      <c r="G2026" s="148"/>
      <c r="H2026" s="142"/>
      <c r="I2026" s="143"/>
      <c r="J2026" s="144"/>
      <c r="K2026" s="144"/>
      <c r="L2026" s="145" t="s">
        <v>50</v>
      </c>
      <c r="M2026" s="146">
        <f>E2026</f>
        <v>3.1219999999999999</v>
      </c>
    </row>
    <row r="2027" spans="1:13" customFormat="1" ht="12.75">
      <c r="A2027" s="136"/>
      <c r="B2027" s="10" t="s">
        <v>548</v>
      </c>
      <c r="E2027" s="138" t="s">
        <v>121</v>
      </c>
      <c r="G2027" s="138"/>
      <c r="I2027" s="138"/>
      <c r="M2027" s="139"/>
    </row>
    <row r="2028" spans="1:13" customFormat="1" ht="12.75">
      <c r="A2028" s="136"/>
      <c r="B2028" s="137"/>
      <c r="E2028" s="138"/>
      <c r="G2028" s="138"/>
      <c r="I2028" s="138"/>
      <c r="M2028" s="139"/>
    </row>
    <row r="2029" spans="1:13" customFormat="1" ht="12.75">
      <c r="A2029" s="136"/>
      <c r="B2029" s="10" t="s">
        <v>578</v>
      </c>
      <c r="D2029" s="140" t="s">
        <v>50</v>
      </c>
      <c r="E2029" s="141">
        <v>2.492</v>
      </c>
      <c r="F2029" s="142"/>
      <c r="G2029" s="148"/>
      <c r="H2029" s="142"/>
      <c r="I2029" s="143"/>
      <c r="J2029" s="144"/>
      <c r="K2029" s="144"/>
      <c r="L2029" s="145" t="s">
        <v>50</v>
      </c>
      <c r="M2029" s="146">
        <f>E2029</f>
        <v>2.492</v>
      </c>
    </row>
    <row r="2030" spans="1:13" customFormat="1" ht="12.75">
      <c r="A2030" s="136"/>
      <c r="B2030" s="10" t="s">
        <v>548</v>
      </c>
      <c r="E2030" s="138" t="s">
        <v>121</v>
      </c>
      <c r="G2030" s="138"/>
      <c r="I2030" s="138"/>
      <c r="M2030" s="139"/>
    </row>
    <row r="2031" spans="1:13" customFormat="1" ht="12.75">
      <c r="A2031" s="136"/>
      <c r="B2031" s="137"/>
      <c r="E2031" s="138"/>
      <c r="G2031" s="138"/>
      <c r="I2031" s="138"/>
      <c r="M2031" s="139"/>
    </row>
    <row r="2032" spans="1:13" customFormat="1" ht="12.75">
      <c r="A2032" s="136"/>
      <c r="B2032" s="10" t="s">
        <v>579</v>
      </c>
      <c r="D2032" s="140" t="s">
        <v>50</v>
      </c>
      <c r="E2032" s="141">
        <v>2.5449999999999999</v>
      </c>
      <c r="F2032" s="142"/>
      <c r="G2032" s="148"/>
      <c r="H2032" s="142"/>
      <c r="I2032" s="143"/>
      <c r="J2032" s="144"/>
      <c r="K2032" s="144"/>
      <c r="L2032" s="145" t="s">
        <v>50</v>
      </c>
      <c r="M2032" s="146">
        <f>E2032</f>
        <v>2.5449999999999999</v>
      </c>
    </row>
    <row r="2033" spans="1:13" customFormat="1" ht="12.75">
      <c r="A2033" s="136"/>
      <c r="B2033" s="10" t="s">
        <v>548</v>
      </c>
      <c r="E2033" s="138" t="s">
        <v>121</v>
      </c>
      <c r="G2033" s="138"/>
      <c r="I2033" s="138"/>
      <c r="M2033" s="139"/>
    </row>
    <row r="2034" spans="1:13" customFormat="1" ht="12.75">
      <c r="A2034" s="136"/>
      <c r="B2034" s="137"/>
      <c r="E2034" s="138"/>
      <c r="G2034" s="138"/>
      <c r="I2034" s="138"/>
      <c r="M2034" s="139"/>
    </row>
    <row r="2035" spans="1:13" customFormat="1" ht="12.75">
      <c r="A2035" s="136"/>
      <c r="B2035" s="137" t="s">
        <v>588</v>
      </c>
      <c r="D2035" s="140" t="s">
        <v>50</v>
      </c>
      <c r="E2035" s="141">
        <v>5.17</v>
      </c>
      <c r="F2035" s="142"/>
      <c r="G2035" s="148"/>
      <c r="H2035" s="142"/>
      <c r="I2035" s="143"/>
      <c r="J2035" s="144"/>
      <c r="K2035" s="144"/>
      <c r="L2035" s="145" t="s">
        <v>50</v>
      </c>
      <c r="M2035" s="146">
        <f>E2035</f>
        <v>5.17</v>
      </c>
    </row>
    <row r="2036" spans="1:13" customFormat="1" ht="12.75">
      <c r="A2036" s="136"/>
      <c r="B2036" s="10" t="s">
        <v>548</v>
      </c>
      <c r="E2036" s="138" t="s">
        <v>121</v>
      </c>
      <c r="G2036" s="138"/>
      <c r="I2036" s="138"/>
      <c r="M2036" s="139"/>
    </row>
    <row r="2037" spans="1:13" customFormat="1" ht="12.75">
      <c r="A2037" s="136"/>
      <c r="B2037" s="137"/>
      <c r="E2037" s="138"/>
      <c r="G2037" s="138"/>
      <c r="I2037" s="138"/>
      <c r="M2037" s="139"/>
    </row>
    <row r="2038" spans="1:13" customFormat="1" ht="12.75">
      <c r="A2038" s="136"/>
      <c r="B2038" s="152" t="s">
        <v>582</v>
      </c>
      <c r="D2038" s="140" t="s">
        <v>50</v>
      </c>
      <c r="E2038" s="141">
        <v>8.3019999999999996</v>
      </c>
      <c r="F2038" s="142"/>
      <c r="G2038" s="148"/>
      <c r="H2038" s="142"/>
      <c r="I2038" s="143"/>
      <c r="J2038" s="144"/>
      <c r="K2038" s="144"/>
      <c r="L2038" s="145" t="s">
        <v>50</v>
      </c>
      <c r="M2038" s="146">
        <f>E2038</f>
        <v>8.3019999999999996</v>
      </c>
    </row>
    <row r="2039" spans="1:13" customFormat="1" ht="12.75">
      <c r="A2039" s="136"/>
      <c r="B2039" s="10" t="s">
        <v>548</v>
      </c>
      <c r="E2039" s="138" t="s">
        <v>121</v>
      </c>
      <c r="G2039" s="138"/>
      <c r="I2039" s="138"/>
      <c r="M2039" s="139"/>
    </row>
    <row r="2040" spans="1:13" customFormat="1" ht="12.75">
      <c r="A2040" s="136"/>
      <c r="B2040" s="137"/>
      <c r="E2040" s="138"/>
      <c r="G2040" s="138"/>
      <c r="I2040" s="138"/>
      <c r="M2040" s="139"/>
    </row>
    <row r="2041" spans="1:13" customFormat="1" ht="12.75">
      <c r="A2041" s="136"/>
      <c r="B2041" s="152" t="s">
        <v>901</v>
      </c>
      <c r="D2041" s="140" t="s">
        <v>50</v>
      </c>
      <c r="E2041" s="141">
        <v>9.8179999999999996</v>
      </c>
      <c r="F2041" s="142"/>
      <c r="G2041" s="148"/>
      <c r="H2041" s="142"/>
      <c r="I2041" s="143"/>
      <c r="J2041" s="144"/>
      <c r="K2041" s="144"/>
      <c r="L2041" s="145" t="s">
        <v>50</v>
      </c>
      <c r="M2041" s="146">
        <f>E2041</f>
        <v>9.8179999999999996</v>
      </c>
    </row>
    <row r="2042" spans="1:13" customFormat="1" ht="12.75">
      <c r="A2042" s="136"/>
      <c r="B2042" s="10" t="s">
        <v>548</v>
      </c>
      <c r="E2042" s="138" t="s">
        <v>121</v>
      </c>
      <c r="G2042" s="138"/>
      <c r="I2042" s="138"/>
      <c r="M2042" s="139"/>
    </row>
    <row r="2043" spans="1:13" customFormat="1" ht="12.75">
      <c r="A2043" s="136"/>
      <c r="B2043" s="137"/>
      <c r="E2043" s="138"/>
      <c r="G2043" s="138"/>
      <c r="I2043" s="138"/>
      <c r="M2043" s="139"/>
    </row>
    <row r="2044" spans="1:13" customFormat="1" ht="12.75">
      <c r="A2044" s="136"/>
      <c r="B2044" s="152" t="s">
        <v>590</v>
      </c>
      <c r="D2044" s="140" t="s">
        <v>50</v>
      </c>
      <c r="E2044" s="141">
        <v>19.809000000000001</v>
      </c>
      <c r="F2044" s="142"/>
      <c r="G2044" s="148"/>
      <c r="H2044" s="142"/>
      <c r="I2044" s="143"/>
      <c r="J2044" s="144"/>
      <c r="K2044" s="144"/>
      <c r="L2044" s="145" t="s">
        <v>50</v>
      </c>
      <c r="M2044" s="146">
        <f>E2044</f>
        <v>19.809000000000001</v>
      </c>
    </row>
    <row r="2045" spans="1:13" customFormat="1" ht="12.75">
      <c r="A2045" s="136"/>
      <c r="B2045" s="10" t="s">
        <v>548</v>
      </c>
      <c r="E2045" s="138" t="s">
        <v>121</v>
      </c>
      <c r="G2045" s="138"/>
      <c r="I2045" s="138"/>
      <c r="M2045" s="139"/>
    </row>
    <row r="2046" spans="1:13" customFormat="1" ht="12.75">
      <c r="A2046" s="136"/>
      <c r="B2046" s="137"/>
      <c r="E2046" s="138"/>
      <c r="G2046" s="138"/>
      <c r="I2046" s="138"/>
      <c r="M2046" s="139"/>
    </row>
    <row r="2047" spans="1:13" customFormat="1" ht="12.75">
      <c r="A2047" s="136"/>
      <c r="B2047" s="152" t="s">
        <v>589</v>
      </c>
      <c r="D2047" s="140" t="s">
        <v>50</v>
      </c>
      <c r="E2047" s="268">
        <f>7.801+1.74+14.646</f>
        <v>24.187000000000001</v>
      </c>
      <c r="F2047" s="142"/>
      <c r="G2047" s="148"/>
      <c r="H2047" s="142"/>
      <c r="I2047" s="143"/>
      <c r="J2047" s="144"/>
      <c r="K2047" s="144"/>
      <c r="L2047" s="145" t="s">
        <v>50</v>
      </c>
      <c r="M2047" s="146">
        <f>E2047</f>
        <v>24.187000000000001</v>
      </c>
    </row>
    <row r="2048" spans="1:13" customFormat="1" ht="12.75">
      <c r="A2048" s="136"/>
      <c r="B2048" s="10" t="s">
        <v>548</v>
      </c>
      <c r="E2048" s="138" t="s">
        <v>121</v>
      </c>
      <c r="G2048" s="138"/>
      <c r="I2048" s="138"/>
      <c r="M2048" s="139"/>
    </row>
    <row r="2049" spans="1:13" customFormat="1" ht="12.75">
      <c r="A2049" s="136"/>
      <c r="B2049" s="137"/>
      <c r="E2049" s="138"/>
      <c r="G2049" s="138"/>
      <c r="I2049" s="138"/>
      <c r="M2049" s="139"/>
    </row>
    <row r="2050" spans="1:13" customFormat="1" ht="12.75">
      <c r="A2050" s="136"/>
      <c r="B2050" s="137" t="s">
        <v>593</v>
      </c>
      <c r="D2050" s="140" t="s">
        <v>50</v>
      </c>
      <c r="E2050" s="141">
        <v>18.422000000000001</v>
      </c>
      <c r="F2050" s="142"/>
      <c r="G2050" s="148"/>
      <c r="H2050" s="142"/>
      <c r="I2050" s="143"/>
      <c r="J2050" s="144"/>
      <c r="K2050" s="144"/>
      <c r="L2050" s="145" t="s">
        <v>50</v>
      </c>
      <c r="M2050" s="146">
        <f>E2050</f>
        <v>18.422000000000001</v>
      </c>
    </row>
    <row r="2051" spans="1:13" customFormat="1" ht="12.75">
      <c r="A2051" s="136"/>
      <c r="B2051" s="10" t="s">
        <v>548</v>
      </c>
      <c r="E2051" s="138" t="s">
        <v>121</v>
      </c>
      <c r="G2051" s="138"/>
      <c r="I2051" s="138"/>
      <c r="M2051" s="139"/>
    </row>
    <row r="2052" spans="1:13" customFormat="1" ht="12.75">
      <c r="A2052" s="136"/>
      <c r="B2052" s="137"/>
      <c r="E2052" s="138"/>
      <c r="G2052" s="138"/>
      <c r="I2052" s="138"/>
      <c r="M2052" s="139"/>
    </row>
    <row r="2053" spans="1:13" customFormat="1" ht="12.75">
      <c r="A2053" s="136"/>
      <c r="B2053" s="137" t="s">
        <v>594</v>
      </c>
      <c r="D2053" s="140" t="s">
        <v>50</v>
      </c>
      <c r="E2053" s="141">
        <v>19.337</v>
      </c>
      <c r="F2053" s="142"/>
      <c r="G2053" s="148"/>
      <c r="H2053" s="142"/>
      <c r="I2053" s="143"/>
      <c r="J2053" s="144"/>
      <c r="K2053" s="144"/>
      <c r="L2053" s="145" t="s">
        <v>50</v>
      </c>
      <c r="M2053" s="146">
        <f>E2053</f>
        <v>19.337</v>
      </c>
    </row>
    <row r="2054" spans="1:13" customFormat="1" ht="12.75">
      <c r="A2054" s="136"/>
      <c r="B2054" s="10" t="s">
        <v>548</v>
      </c>
      <c r="E2054" s="138" t="s">
        <v>121</v>
      </c>
      <c r="G2054" s="138"/>
      <c r="I2054" s="138"/>
      <c r="M2054" s="139"/>
    </row>
    <row r="2055" spans="1:13" customFormat="1" ht="12.75">
      <c r="A2055" s="136"/>
      <c r="B2055" s="137"/>
      <c r="E2055" s="138"/>
      <c r="G2055" s="138"/>
      <c r="I2055" s="138"/>
      <c r="M2055" s="139"/>
    </row>
    <row r="2056" spans="1:13" customFormat="1" ht="12.75">
      <c r="A2056" s="136"/>
      <c r="B2056" s="137" t="s">
        <v>592</v>
      </c>
      <c r="D2056" s="140" t="s">
        <v>50</v>
      </c>
      <c r="E2056" s="141">
        <v>10.55</v>
      </c>
      <c r="F2056" s="142"/>
      <c r="G2056" s="148"/>
      <c r="H2056" s="142"/>
      <c r="I2056" s="143"/>
      <c r="J2056" s="144"/>
      <c r="K2056" s="144"/>
      <c r="L2056" s="145" t="s">
        <v>50</v>
      </c>
      <c r="M2056" s="146">
        <f>E2056</f>
        <v>10.55</v>
      </c>
    </row>
    <row r="2057" spans="1:13" customFormat="1" ht="12.75">
      <c r="A2057" s="136"/>
      <c r="B2057" s="10" t="s">
        <v>548</v>
      </c>
      <c r="E2057" s="138" t="s">
        <v>121</v>
      </c>
      <c r="G2057" s="138"/>
      <c r="I2057" s="138"/>
      <c r="M2057" s="139"/>
    </row>
    <row r="2058" spans="1:13" customFormat="1" ht="12.75">
      <c r="A2058" s="136"/>
      <c r="B2058" s="137"/>
      <c r="E2058" s="138"/>
      <c r="G2058" s="138"/>
      <c r="I2058" s="138"/>
      <c r="M2058" s="139"/>
    </row>
    <row r="2059" spans="1:13" customFormat="1" ht="12.75">
      <c r="A2059" s="136"/>
      <c r="B2059" s="137" t="s">
        <v>595</v>
      </c>
      <c r="D2059" s="140" t="s">
        <v>50</v>
      </c>
      <c r="E2059" s="141">
        <v>18.696000000000002</v>
      </c>
      <c r="F2059" s="142"/>
      <c r="G2059" s="148"/>
      <c r="H2059" s="142"/>
      <c r="I2059" s="143"/>
      <c r="J2059" s="144"/>
      <c r="K2059" s="144"/>
      <c r="L2059" s="145" t="s">
        <v>50</v>
      </c>
      <c r="M2059" s="146">
        <f>E2059</f>
        <v>18.696000000000002</v>
      </c>
    </row>
    <row r="2060" spans="1:13" customFormat="1" ht="12.75">
      <c r="A2060" s="136"/>
      <c r="B2060" s="10" t="s">
        <v>548</v>
      </c>
      <c r="E2060" s="138" t="s">
        <v>121</v>
      </c>
      <c r="G2060" s="138"/>
      <c r="I2060" s="138"/>
      <c r="M2060" s="139"/>
    </row>
    <row r="2061" spans="1:13" customFormat="1" ht="12.75">
      <c r="A2061" s="136"/>
      <c r="B2061" s="137"/>
      <c r="E2061" s="138"/>
      <c r="G2061" s="138"/>
      <c r="I2061" s="138"/>
      <c r="M2061" s="139"/>
    </row>
    <row r="2062" spans="1:13" s="161" customFormat="1" ht="12.75">
      <c r="A2062" s="163"/>
      <c r="B2062" s="161" t="s">
        <v>10</v>
      </c>
      <c r="E2062" s="161" t="s">
        <v>149</v>
      </c>
      <c r="H2062" s="164"/>
      <c r="I2062" s="165" t="s">
        <v>265</v>
      </c>
      <c r="L2062" s="162" t="s">
        <v>50</v>
      </c>
      <c r="M2062" s="46">
        <f>SUM(M2017:M2059)</f>
        <v>150.90199999999999</v>
      </c>
    </row>
    <row r="2063" spans="1:13" s="10" customFormat="1" ht="12.75">
      <c r="A2063" s="11"/>
      <c r="H2063" s="132"/>
      <c r="I2063" s="94"/>
      <c r="L2063" s="93"/>
      <c r="M2063" s="158"/>
    </row>
    <row r="2064" spans="1:13" s="10" customFormat="1" ht="42.75" customHeight="1">
      <c r="A2064" s="38" t="str">
        <f>ORÇAMENTO!A254</f>
        <v>18.13</v>
      </c>
      <c r="B2064" s="86"/>
      <c r="C2064" s="388" t="str">
        <f>ORÇAMENTO!D254</f>
        <v>DEMOLIÇÃO MANUAL DE PISO CIMENTADO OU CONTRAPISO DE ARGAMASSA, COM ESPESSURA MÁXIMA DE 10CM, INCLUSIVE AFASTAMENTO E EMPILHAMENTO, EXCLUSIVE TRANSPORTE E RETIRADA DO MATERIAL DEMOLIDO</v>
      </c>
      <c r="D2064" s="388"/>
      <c r="E2064" s="388"/>
      <c r="F2064" s="388"/>
      <c r="G2064" s="388"/>
      <c r="H2064" s="388"/>
      <c r="I2064" s="388"/>
      <c r="J2064" s="388"/>
      <c r="K2064" s="388"/>
      <c r="L2064" s="388"/>
      <c r="M2064" s="47" t="str">
        <f>ORÇAMENTO!E254</f>
        <v>M2</v>
      </c>
    </row>
    <row r="2065" spans="1:13" s="10" customFormat="1" ht="12.75">
      <c r="A2065" s="11"/>
      <c r="M2065" s="12"/>
    </row>
    <row r="2066" spans="1:13" customFormat="1" ht="12.75">
      <c r="A2066" s="136"/>
      <c r="B2066" s="10" t="s">
        <v>573</v>
      </c>
      <c r="D2066" s="140" t="s">
        <v>50</v>
      </c>
      <c r="E2066" s="141">
        <v>3.12</v>
      </c>
      <c r="F2066" s="142"/>
      <c r="G2066" s="148"/>
      <c r="H2066" s="142"/>
      <c r="I2066" s="143"/>
      <c r="J2066" s="144"/>
      <c r="K2066" s="144"/>
      <c r="L2066" s="145" t="s">
        <v>50</v>
      </c>
      <c r="M2066" s="146">
        <f>E2066</f>
        <v>3.12</v>
      </c>
    </row>
    <row r="2067" spans="1:13" customFormat="1" ht="12.75">
      <c r="A2067" s="136"/>
      <c r="B2067" s="10" t="s">
        <v>548</v>
      </c>
      <c r="E2067" s="138" t="s">
        <v>121</v>
      </c>
      <c r="G2067" s="138"/>
      <c r="I2067" s="138"/>
      <c r="M2067" s="139"/>
    </row>
    <row r="2068" spans="1:13" customFormat="1" ht="12.75">
      <c r="A2068" s="136"/>
      <c r="B2068" s="137"/>
      <c r="E2068" s="138"/>
      <c r="G2068" s="138"/>
      <c r="I2068" s="138"/>
      <c r="M2068" s="139"/>
    </row>
    <row r="2069" spans="1:13" customFormat="1" ht="12.75">
      <c r="A2069" s="136"/>
      <c r="B2069" s="10" t="s">
        <v>574</v>
      </c>
      <c r="D2069" s="140" t="s">
        <v>50</v>
      </c>
      <c r="E2069" s="141">
        <v>3.4319999999999999</v>
      </c>
      <c r="F2069" s="142"/>
      <c r="G2069" s="148"/>
      <c r="H2069" s="142"/>
      <c r="I2069" s="143"/>
      <c r="J2069" s="144"/>
      <c r="K2069" s="144"/>
      <c r="L2069" s="145" t="s">
        <v>50</v>
      </c>
      <c r="M2069" s="146">
        <f>E2069</f>
        <v>3.4319999999999999</v>
      </c>
    </row>
    <row r="2070" spans="1:13" customFormat="1" ht="12.75">
      <c r="A2070" s="136"/>
      <c r="B2070" s="10" t="s">
        <v>548</v>
      </c>
      <c r="E2070" s="138" t="s">
        <v>121</v>
      </c>
      <c r="G2070" s="138"/>
      <c r="I2070" s="138"/>
      <c r="M2070" s="139"/>
    </row>
    <row r="2071" spans="1:13" customFormat="1" ht="12.75">
      <c r="A2071" s="136"/>
      <c r="B2071" s="137"/>
      <c r="E2071" s="138"/>
      <c r="G2071" s="138"/>
      <c r="I2071" s="138"/>
      <c r="M2071" s="139"/>
    </row>
    <row r="2072" spans="1:13" customFormat="1" ht="12.75">
      <c r="A2072" s="136"/>
      <c r="B2072" s="10" t="s">
        <v>575</v>
      </c>
      <c r="D2072" s="140" t="s">
        <v>50</v>
      </c>
      <c r="E2072" s="141">
        <v>1.9</v>
      </c>
      <c r="F2072" s="142"/>
      <c r="G2072" s="148"/>
      <c r="H2072" s="142"/>
      <c r="I2072" s="143"/>
      <c r="J2072" s="144"/>
      <c r="K2072" s="144"/>
      <c r="L2072" s="145" t="s">
        <v>50</v>
      </c>
      <c r="M2072" s="146">
        <f>E2072</f>
        <v>1.9</v>
      </c>
    </row>
    <row r="2073" spans="1:13" customFormat="1" ht="12.75">
      <c r="A2073" s="136"/>
      <c r="B2073" s="10" t="s">
        <v>548</v>
      </c>
      <c r="E2073" s="138" t="s">
        <v>121</v>
      </c>
      <c r="G2073" s="138"/>
      <c r="I2073" s="138"/>
      <c r="M2073" s="139"/>
    </row>
    <row r="2074" spans="1:13" customFormat="1" ht="12.75">
      <c r="A2074" s="136"/>
      <c r="B2074" s="137"/>
      <c r="E2074" s="138"/>
      <c r="G2074" s="138"/>
      <c r="I2074" s="138"/>
      <c r="M2074" s="139"/>
    </row>
    <row r="2075" spans="1:13" customFormat="1" ht="12.75">
      <c r="A2075" s="136"/>
      <c r="B2075" s="10" t="s">
        <v>861</v>
      </c>
      <c r="D2075" s="140" t="s">
        <v>50</v>
      </c>
      <c r="E2075" s="141">
        <v>3.1219999999999999</v>
      </c>
      <c r="F2075" s="142"/>
      <c r="G2075" s="148"/>
      <c r="H2075" s="142"/>
      <c r="I2075" s="143"/>
      <c r="J2075" s="144"/>
      <c r="K2075" s="144"/>
      <c r="L2075" s="145" t="s">
        <v>50</v>
      </c>
      <c r="M2075" s="146">
        <f>E2075</f>
        <v>3.1219999999999999</v>
      </c>
    </row>
    <row r="2076" spans="1:13" customFormat="1" ht="12.75">
      <c r="A2076" s="136"/>
      <c r="B2076" s="10" t="s">
        <v>548</v>
      </c>
      <c r="E2076" s="138" t="s">
        <v>121</v>
      </c>
      <c r="G2076" s="138"/>
      <c r="I2076" s="138"/>
      <c r="M2076" s="139"/>
    </row>
    <row r="2077" spans="1:13" customFormat="1" ht="12.75">
      <c r="A2077" s="136"/>
      <c r="B2077" s="137"/>
      <c r="E2077" s="138"/>
      <c r="G2077" s="138"/>
      <c r="I2077" s="138"/>
      <c r="M2077" s="139"/>
    </row>
    <row r="2078" spans="1:13" customFormat="1" ht="12.75">
      <c r="A2078" s="136"/>
      <c r="B2078" s="10" t="s">
        <v>578</v>
      </c>
      <c r="D2078" s="140" t="s">
        <v>50</v>
      </c>
      <c r="E2078" s="141">
        <v>2.492</v>
      </c>
      <c r="F2078" s="142"/>
      <c r="G2078" s="148"/>
      <c r="H2078" s="142"/>
      <c r="I2078" s="143"/>
      <c r="J2078" s="144"/>
      <c r="K2078" s="144"/>
      <c r="L2078" s="145" t="s">
        <v>50</v>
      </c>
      <c r="M2078" s="146">
        <f>E2078</f>
        <v>2.492</v>
      </c>
    </row>
    <row r="2079" spans="1:13" customFormat="1" ht="12.75">
      <c r="A2079" s="136"/>
      <c r="B2079" s="10" t="s">
        <v>548</v>
      </c>
      <c r="E2079" s="138" t="s">
        <v>121</v>
      </c>
      <c r="G2079" s="138"/>
      <c r="I2079" s="138"/>
      <c r="M2079" s="139"/>
    </row>
    <row r="2080" spans="1:13" customFormat="1" ht="12.75">
      <c r="A2080" s="136"/>
      <c r="B2080" s="137"/>
      <c r="E2080" s="138"/>
      <c r="G2080" s="138"/>
      <c r="I2080" s="138"/>
      <c r="M2080" s="139"/>
    </row>
    <row r="2081" spans="1:13" customFormat="1" ht="12.75">
      <c r="A2081" s="136"/>
      <c r="B2081" s="10" t="s">
        <v>579</v>
      </c>
      <c r="D2081" s="140" t="s">
        <v>50</v>
      </c>
      <c r="E2081" s="141">
        <v>2.5449999999999999</v>
      </c>
      <c r="F2081" s="142"/>
      <c r="G2081" s="148"/>
      <c r="H2081" s="142"/>
      <c r="I2081" s="143"/>
      <c r="J2081" s="144"/>
      <c r="K2081" s="144"/>
      <c r="L2081" s="145" t="s">
        <v>50</v>
      </c>
      <c r="M2081" s="146">
        <f>E2081</f>
        <v>2.5449999999999999</v>
      </c>
    </row>
    <row r="2082" spans="1:13" customFormat="1" ht="12.75">
      <c r="A2082" s="136"/>
      <c r="B2082" s="10" t="s">
        <v>548</v>
      </c>
      <c r="E2082" s="138" t="s">
        <v>121</v>
      </c>
      <c r="G2082" s="138"/>
      <c r="I2082" s="138"/>
      <c r="M2082" s="139"/>
    </row>
    <row r="2083" spans="1:13" customFormat="1" ht="12.75">
      <c r="A2083" s="136"/>
      <c r="B2083" s="137"/>
      <c r="E2083" s="138"/>
      <c r="G2083" s="138"/>
      <c r="I2083" s="138"/>
      <c r="M2083" s="139"/>
    </row>
    <row r="2084" spans="1:13" customFormat="1" ht="12.75">
      <c r="A2084" s="136"/>
      <c r="B2084" s="137" t="s">
        <v>588</v>
      </c>
      <c r="D2084" s="140" t="s">
        <v>50</v>
      </c>
      <c r="E2084" s="141">
        <v>5.17</v>
      </c>
      <c r="F2084" s="142"/>
      <c r="G2084" s="148"/>
      <c r="H2084" s="142"/>
      <c r="I2084" s="143"/>
      <c r="J2084" s="144"/>
      <c r="K2084" s="144"/>
      <c r="L2084" s="145" t="s">
        <v>50</v>
      </c>
      <c r="M2084" s="146">
        <f>E2084</f>
        <v>5.17</v>
      </c>
    </row>
    <row r="2085" spans="1:13" customFormat="1" ht="12.75">
      <c r="A2085" s="136"/>
      <c r="B2085" s="10" t="s">
        <v>548</v>
      </c>
      <c r="E2085" s="138" t="s">
        <v>121</v>
      </c>
      <c r="G2085" s="138"/>
      <c r="I2085" s="138"/>
      <c r="M2085" s="139"/>
    </row>
    <row r="2086" spans="1:13" customFormat="1" ht="12.75">
      <c r="A2086" s="136"/>
      <c r="B2086" s="137"/>
      <c r="E2086" s="138"/>
      <c r="G2086" s="138"/>
      <c r="I2086" s="138"/>
      <c r="M2086" s="139"/>
    </row>
    <row r="2087" spans="1:13" customFormat="1" ht="12.75">
      <c r="A2087" s="136"/>
      <c r="B2087" s="152" t="s">
        <v>582</v>
      </c>
      <c r="D2087" s="140" t="s">
        <v>50</v>
      </c>
      <c r="E2087" s="141">
        <v>8.3019999999999996</v>
      </c>
      <c r="F2087" s="142"/>
      <c r="G2087" s="148"/>
      <c r="H2087" s="142"/>
      <c r="I2087" s="143"/>
      <c r="J2087" s="144"/>
      <c r="K2087" s="144"/>
      <c r="L2087" s="145" t="s">
        <v>50</v>
      </c>
      <c r="M2087" s="146">
        <f>E2087</f>
        <v>8.3019999999999996</v>
      </c>
    </row>
    <row r="2088" spans="1:13" customFormat="1" ht="12.75">
      <c r="A2088" s="136"/>
      <c r="B2088" s="10" t="s">
        <v>548</v>
      </c>
      <c r="E2088" s="138" t="s">
        <v>121</v>
      </c>
      <c r="G2088" s="138"/>
      <c r="I2088" s="138"/>
      <c r="M2088" s="139"/>
    </row>
    <row r="2089" spans="1:13" customFormat="1" ht="12.75">
      <c r="A2089" s="136"/>
      <c r="B2089" s="137"/>
      <c r="E2089" s="138"/>
      <c r="G2089" s="138"/>
      <c r="I2089" s="138"/>
      <c r="M2089" s="139"/>
    </row>
    <row r="2090" spans="1:13" customFormat="1" ht="12.75">
      <c r="A2090" s="136"/>
      <c r="B2090" s="152" t="s">
        <v>901</v>
      </c>
      <c r="D2090" s="140" t="s">
        <v>50</v>
      </c>
      <c r="E2090" s="141">
        <v>9.8179999999999996</v>
      </c>
      <c r="F2090" s="142"/>
      <c r="G2090" s="148"/>
      <c r="H2090" s="142"/>
      <c r="I2090" s="143"/>
      <c r="J2090" s="144"/>
      <c r="K2090" s="144"/>
      <c r="L2090" s="145" t="s">
        <v>50</v>
      </c>
      <c r="M2090" s="146">
        <f>E2090</f>
        <v>9.8179999999999996</v>
      </c>
    </row>
    <row r="2091" spans="1:13" customFormat="1" ht="12.75">
      <c r="A2091" s="136"/>
      <c r="B2091" s="10" t="s">
        <v>548</v>
      </c>
      <c r="E2091" s="138" t="s">
        <v>121</v>
      </c>
      <c r="G2091" s="138"/>
      <c r="I2091" s="138"/>
      <c r="M2091" s="139"/>
    </row>
    <row r="2092" spans="1:13" customFormat="1" ht="12.75">
      <c r="A2092" s="136"/>
      <c r="B2092" s="137"/>
      <c r="E2092" s="138"/>
      <c r="G2092" s="138"/>
      <c r="I2092" s="138"/>
      <c r="M2092" s="139"/>
    </row>
    <row r="2093" spans="1:13" customFormat="1" ht="12.75">
      <c r="A2093" s="136"/>
      <c r="B2093" s="152" t="s">
        <v>590</v>
      </c>
      <c r="D2093" s="140" t="s">
        <v>50</v>
      </c>
      <c r="E2093" s="141">
        <v>19.809000000000001</v>
      </c>
      <c r="F2093" s="142"/>
      <c r="G2093" s="148"/>
      <c r="H2093" s="142"/>
      <c r="I2093" s="143"/>
      <c r="J2093" s="144"/>
      <c r="K2093" s="144"/>
      <c r="L2093" s="145" t="s">
        <v>50</v>
      </c>
      <c r="M2093" s="146">
        <f>E2093</f>
        <v>19.809000000000001</v>
      </c>
    </row>
    <row r="2094" spans="1:13" customFormat="1" ht="12.75">
      <c r="A2094" s="136"/>
      <c r="B2094" s="10" t="s">
        <v>548</v>
      </c>
      <c r="E2094" s="138" t="s">
        <v>121</v>
      </c>
      <c r="G2094" s="138"/>
      <c r="I2094" s="138"/>
      <c r="M2094" s="139"/>
    </row>
    <row r="2095" spans="1:13" customFormat="1" ht="12.75">
      <c r="A2095" s="136"/>
      <c r="B2095" s="137"/>
      <c r="E2095" s="138"/>
      <c r="G2095" s="138"/>
      <c r="I2095" s="138"/>
      <c r="M2095" s="139"/>
    </row>
    <row r="2096" spans="1:13" customFormat="1" ht="12.75">
      <c r="A2096" s="136"/>
      <c r="B2096" s="152" t="s">
        <v>589</v>
      </c>
      <c r="D2096" s="140" t="s">
        <v>50</v>
      </c>
      <c r="E2096" s="268">
        <f>7.801+1.74+14.646</f>
        <v>24.187000000000001</v>
      </c>
      <c r="F2096" s="142"/>
      <c r="G2096" s="148"/>
      <c r="H2096" s="142"/>
      <c r="I2096" s="143"/>
      <c r="J2096" s="144"/>
      <c r="K2096" s="144"/>
      <c r="L2096" s="145" t="s">
        <v>50</v>
      </c>
      <c r="M2096" s="146">
        <f>E2096</f>
        <v>24.187000000000001</v>
      </c>
    </row>
    <row r="2097" spans="1:13" customFormat="1" ht="12.75">
      <c r="A2097" s="136"/>
      <c r="B2097" s="10" t="s">
        <v>548</v>
      </c>
      <c r="E2097" s="138" t="s">
        <v>121</v>
      </c>
      <c r="G2097" s="138"/>
      <c r="I2097" s="138"/>
      <c r="M2097" s="139"/>
    </row>
    <row r="2098" spans="1:13" customFormat="1" ht="12.75">
      <c r="A2098" s="136"/>
      <c r="B2098" s="137"/>
      <c r="E2098" s="138"/>
      <c r="G2098" s="138"/>
      <c r="I2098" s="138"/>
      <c r="M2098" s="139"/>
    </row>
    <row r="2099" spans="1:13" customFormat="1" ht="12.75">
      <c r="A2099" s="136"/>
      <c r="B2099" s="137" t="s">
        <v>593</v>
      </c>
      <c r="D2099" s="140" t="s">
        <v>50</v>
      </c>
      <c r="E2099" s="141">
        <v>18.422000000000001</v>
      </c>
      <c r="F2099" s="142"/>
      <c r="G2099" s="148"/>
      <c r="H2099" s="142"/>
      <c r="I2099" s="143"/>
      <c r="J2099" s="144"/>
      <c r="K2099" s="144"/>
      <c r="L2099" s="145" t="s">
        <v>50</v>
      </c>
      <c r="M2099" s="146">
        <f>E2099</f>
        <v>18.422000000000001</v>
      </c>
    </row>
    <row r="2100" spans="1:13" customFormat="1" ht="12.75">
      <c r="A2100" s="136"/>
      <c r="B2100" s="10" t="s">
        <v>548</v>
      </c>
      <c r="E2100" s="138" t="s">
        <v>121</v>
      </c>
      <c r="G2100" s="138"/>
      <c r="I2100" s="138"/>
      <c r="M2100" s="139"/>
    </row>
    <row r="2101" spans="1:13" customFormat="1" ht="12.75">
      <c r="A2101" s="136"/>
      <c r="B2101" s="137"/>
      <c r="E2101" s="138"/>
      <c r="G2101" s="138"/>
      <c r="I2101" s="138"/>
      <c r="M2101" s="139"/>
    </row>
    <row r="2102" spans="1:13" customFormat="1" ht="12.75">
      <c r="A2102" s="136"/>
      <c r="B2102" s="137" t="s">
        <v>594</v>
      </c>
      <c r="D2102" s="140" t="s">
        <v>50</v>
      </c>
      <c r="E2102" s="141">
        <v>19.337</v>
      </c>
      <c r="F2102" s="142"/>
      <c r="G2102" s="148"/>
      <c r="H2102" s="142"/>
      <c r="I2102" s="143"/>
      <c r="J2102" s="144"/>
      <c r="K2102" s="144"/>
      <c r="L2102" s="145" t="s">
        <v>50</v>
      </c>
      <c r="M2102" s="146">
        <f>E2102</f>
        <v>19.337</v>
      </c>
    </row>
    <row r="2103" spans="1:13" customFormat="1" ht="12.75">
      <c r="A2103" s="136"/>
      <c r="B2103" s="10" t="s">
        <v>548</v>
      </c>
      <c r="E2103" s="138" t="s">
        <v>121</v>
      </c>
      <c r="G2103" s="138"/>
      <c r="I2103" s="138"/>
      <c r="M2103" s="139"/>
    </row>
    <row r="2104" spans="1:13" customFormat="1" ht="12.75">
      <c r="A2104" s="136"/>
      <c r="B2104" s="137"/>
      <c r="E2104" s="138"/>
      <c r="G2104" s="138"/>
      <c r="I2104" s="138"/>
      <c r="M2104" s="139"/>
    </row>
    <row r="2105" spans="1:13" customFormat="1" ht="12.75">
      <c r="A2105" s="136"/>
      <c r="B2105" s="137" t="s">
        <v>592</v>
      </c>
      <c r="D2105" s="140" t="s">
        <v>50</v>
      </c>
      <c r="E2105" s="141">
        <v>10.55</v>
      </c>
      <c r="F2105" s="142"/>
      <c r="G2105" s="148"/>
      <c r="H2105" s="142"/>
      <c r="I2105" s="143"/>
      <c r="J2105" s="144"/>
      <c r="K2105" s="144"/>
      <c r="L2105" s="145" t="s">
        <v>50</v>
      </c>
      <c r="M2105" s="146">
        <f>E2105</f>
        <v>10.55</v>
      </c>
    </row>
    <row r="2106" spans="1:13" customFormat="1" ht="12.75">
      <c r="A2106" s="136"/>
      <c r="B2106" s="10" t="s">
        <v>548</v>
      </c>
      <c r="E2106" s="138" t="s">
        <v>121</v>
      </c>
      <c r="G2106" s="138"/>
      <c r="I2106" s="138"/>
      <c r="M2106" s="139"/>
    </row>
    <row r="2107" spans="1:13" customFormat="1" ht="12.75">
      <c r="A2107" s="136"/>
      <c r="B2107" s="137"/>
      <c r="E2107" s="138"/>
      <c r="G2107" s="138"/>
      <c r="I2107" s="138"/>
      <c r="M2107" s="139"/>
    </row>
    <row r="2108" spans="1:13" customFormat="1" ht="12.75">
      <c r="A2108" s="136"/>
      <c r="B2108" s="137" t="s">
        <v>595</v>
      </c>
      <c r="D2108" s="140" t="s">
        <v>50</v>
      </c>
      <c r="E2108" s="141">
        <v>18.696000000000002</v>
      </c>
      <c r="F2108" s="142"/>
      <c r="G2108" s="148"/>
      <c r="H2108" s="142"/>
      <c r="I2108" s="143"/>
      <c r="J2108" s="144"/>
      <c r="K2108" s="144"/>
      <c r="L2108" s="145" t="s">
        <v>50</v>
      </c>
      <c r="M2108" s="146">
        <f>E2108</f>
        <v>18.696000000000002</v>
      </c>
    </row>
    <row r="2109" spans="1:13" customFormat="1" ht="12.75">
      <c r="A2109" s="136"/>
      <c r="B2109" s="10" t="s">
        <v>548</v>
      </c>
      <c r="E2109" s="138" t="s">
        <v>121</v>
      </c>
      <c r="G2109" s="138"/>
      <c r="I2109" s="138"/>
      <c r="M2109" s="139"/>
    </row>
    <row r="2110" spans="1:13" customFormat="1" ht="12.75">
      <c r="A2110" s="136"/>
      <c r="B2110" s="137"/>
      <c r="E2110" s="138"/>
      <c r="G2110" s="138"/>
      <c r="I2110" s="138"/>
      <c r="M2110" s="139"/>
    </row>
    <row r="2111" spans="1:13" s="10" customFormat="1" ht="12.75">
      <c r="A2111" s="269"/>
      <c r="B2111" s="10" t="s">
        <v>577</v>
      </c>
      <c r="D2111" s="88" t="s">
        <v>50</v>
      </c>
      <c r="E2111" s="89">
        <v>3.7519999999999998</v>
      </c>
      <c r="F2111" s="264"/>
      <c r="G2111" s="91"/>
      <c r="H2111" s="264"/>
      <c r="I2111" s="153"/>
      <c r="J2111" s="92"/>
      <c r="K2111" s="92"/>
      <c r="L2111" s="93" t="s">
        <v>50</v>
      </c>
      <c r="M2111" s="13">
        <f>E2111</f>
        <v>3.7519999999999998</v>
      </c>
    </row>
    <row r="2112" spans="1:13" s="10" customFormat="1" ht="12.75">
      <c r="A2112" s="269"/>
      <c r="B2112" s="10" t="s">
        <v>548</v>
      </c>
      <c r="E2112" s="270" t="s">
        <v>121</v>
      </c>
      <c r="G2112" s="270"/>
      <c r="I2112" s="270"/>
      <c r="M2112" s="12"/>
    </row>
    <row r="2113" spans="1:13" s="10" customFormat="1" ht="12.75">
      <c r="A2113" s="269"/>
      <c r="B2113" s="152"/>
      <c r="E2113" s="270"/>
      <c r="G2113" s="270"/>
      <c r="I2113" s="270"/>
      <c r="M2113" s="12"/>
    </row>
    <row r="2114" spans="1:13" s="10" customFormat="1" ht="12.75">
      <c r="A2114" s="269"/>
      <c r="B2114" s="10" t="s">
        <v>576</v>
      </c>
      <c r="D2114" s="88" t="s">
        <v>50</v>
      </c>
      <c r="E2114" s="89">
        <v>3.7519999999999998</v>
      </c>
      <c r="F2114" s="264"/>
      <c r="G2114" s="91"/>
      <c r="H2114" s="264"/>
      <c r="I2114" s="153"/>
      <c r="J2114" s="92"/>
      <c r="K2114" s="92"/>
      <c r="L2114" s="93" t="s">
        <v>50</v>
      </c>
      <c r="M2114" s="13">
        <f>E2114</f>
        <v>3.7519999999999998</v>
      </c>
    </row>
    <row r="2115" spans="1:13" s="10" customFormat="1" ht="12.75">
      <c r="A2115" s="269"/>
      <c r="B2115" s="10" t="s">
        <v>548</v>
      </c>
      <c r="E2115" s="270" t="s">
        <v>121</v>
      </c>
      <c r="G2115" s="270"/>
      <c r="I2115" s="270"/>
      <c r="M2115" s="12"/>
    </row>
    <row r="2116" spans="1:13" s="10" customFormat="1" ht="12.75">
      <c r="A2116" s="269"/>
      <c r="B2116" s="152"/>
      <c r="E2116" s="270"/>
      <c r="G2116" s="270"/>
      <c r="I2116" s="270"/>
      <c r="M2116" s="12"/>
    </row>
    <row r="2117" spans="1:13" s="10" customFormat="1" ht="12.75">
      <c r="A2117" s="269"/>
      <c r="B2117" s="152" t="s">
        <v>583</v>
      </c>
      <c r="D2117" s="88" t="s">
        <v>50</v>
      </c>
      <c r="E2117" s="89">
        <v>8.1430000000000007</v>
      </c>
      <c r="F2117" s="264"/>
      <c r="G2117" s="91"/>
      <c r="H2117" s="264"/>
      <c r="I2117" s="153"/>
      <c r="J2117" s="92"/>
      <c r="K2117" s="92"/>
      <c r="L2117" s="93" t="s">
        <v>50</v>
      </c>
      <c r="M2117" s="13">
        <f>E2117</f>
        <v>8.1430000000000007</v>
      </c>
    </row>
    <row r="2118" spans="1:13" s="10" customFormat="1" ht="12.75">
      <c r="A2118" s="269"/>
      <c r="B2118" s="10" t="s">
        <v>548</v>
      </c>
      <c r="E2118" s="270" t="s">
        <v>121</v>
      </c>
      <c r="G2118" s="270"/>
      <c r="I2118" s="270"/>
      <c r="M2118" s="12"/>
    </row>
    <row r="2119" spans="1:13" s="10" customFormat="1" ht="12.75">
      <c r="A2119" s="269"/>
      <c r="B2119" s="152"/>
      <c r="E2119" s="270"/>
      <c r="G2119" s="270"/>
      <c r="I2119" s="270"/>
      <c r="M2119" s="12"/>
    </row>
    <row r="2120" spans="1:13" s="10" customFormat="1" ht="12.75">
      <c r="A2120" s="269"/>
      <c r="B2120" s="152" t="s">
        <v>584</v>
      </c>
      <c r="D2120" s="88" t="s">
        <v>50</v>
      </c>
      <c r="E2120" s="89">
        <v>9.25</v>
      </c>
      <c r="F2120" s="264"/>
      <c r="G2120" s="91"/>
      <c r="H2120" s="264"/>
      <c r="I2120" s="153"/>
      <c r="J2120" s="92"/>
      <c r="K2120" s="92"/>
      <c r="L2120" s="93" t="s">
        <v>50</v>
      </c>
      <c r="M2120" s="13">
        <f>E2120</f>
        <v>9.25</v>
      </c>
    </row>
    <row r="2121" spans="1:13" s="10" customFormat="1" ht="12.75">
      <c r="A2121" s="269"/>
      <c r="B2121" s="10" t="s">
        <v>548</v>
      </c>
      <c r="E2121" s="270" t="s">
        <v>121</v>
      </c>
      <c r="G2121" s="270"/>
      <c r="I2121" s="270"/>
      <c r="M2121" s="12"/>
    </row>
    <row r="2122" spans="1:13" s="10" customFormat="1" ht="12.75">
      <c r="A2122" s="269"/>
      <c r="B2122" s="152"/>
      <c r="E2122" s="270"/>
      <c r="G2122" s="270"/>
      <c r="I2122" s="270"/>
      <c r="M2122" s="12"/>
    </row>
    <row r="2123" spans="1:13" s="10" customFormat="1" ht="12.75">
      <c r="A2123" s="269"/>
      <c r="B2123" s="152" t="s">
        <v>585</v>
      </c>
      <c r="D2123" s="88" t="s">
        <v>50</v>
      </c>
      <c r="E2123" s="89">
        <v>9</v>
      </c>
      <c r="F2123" s="264"/>
      <c r="G2123" s="91"/>
      <c r="H2123" s="264"/>
      <c r="I2123" s="153"/>
      <c r="J2123" s="92"/>
      <c r="K2123" s="92"/>
      <c r="L2123" s="93" t="s">
        <v>50</v>
      </c>
      <c r="M2123" s="13">
        <f>E2123</f>
        <v>9</v>
      </c>
    </row>
    <row r="2124" spans="1:13" s="10" customFormat="1" ht="12.75">
      <c r="A2124" s="269"/>
      <c r="B2124" s="10" t="s">
        <v>548</v>
      </c>
      <c r="E2124" s="270" t="s">
        <v>121</v>
      </c>
      <c r="G2124" s="270"/>
      <c r="I2124" s="270"/>
      <c r="M2124" s="12"/>
    </row>
    <row r="2125" spans="1:13" s="10" customFormat="1" ht="12.75">
      <c r="A2125" s="269"/>
      <c r="B2125" s="152"/>
      <c r="E2125" s="270"/>
      <c r="G2125" s="270"/>
      <c r="I2125" s="270"/>
      <c r="M2125" s="12"/>
    </row>
    <row r="2126" spans="1:13" s="10" customFormat="1" ht="12.75">
      <c r="A2126" s="269"/>
      <c r="B2126" s="152" t="s">
        <v>586</v>
      </c>
      <c r="D2126" s="88" t="s">
        <v>50</v>
      </c>
      <c r="E2126" s="89">
        <v>9.1750000000000007</v>
      </c>
      <c r="F2126" s="264"/>
      <c r="G2126" s="91"/>
      <c r="H2126" s="264"/>
      <c r="I2126" s="153"/>
      <c r="J2126" s="92"/>
      <c r="K2126" s="92"/>
      <c r="L2126" s="93" t="s">
        <v>50</v>
      </c>
      <c r="M2126" s="13">
        <f>E2126</f>
        <v>9.1750000000000007</v>
      </c>
    </row>
    <row r="2127" spans="1:13" s="10" customFormat="1" ht="12.75">
      <c r="A2127" s="269"/>
      <c r="B2127" s="10" t="s">
        <v>548</v>
      </c>
      <c r="E2127" s="270" t="s">
        <v>121</v>
      </c>
      <c r="G2127" s="270"/>
      <c r="I2127" s="270"/>
      <c r="M2127" s="12"/>
    </row>
    <row r="2128" spans="1:13" s="10" customFormat="1" ht="12.75">
      <c r="A2128" s="269"/>
      <c r="B2128" s="152"/>
      <c r="E2128" s="270"/>
      <c r="G2128" s="270"/>
      <c r="I2128" s="270"/>
      <c r="M2128" s="12"/>
    </row>
    <row r="2129" spans="1:13" s="10" customFormat="1" ht="12.75">
      <c r="A2129" s="269"/>
      <c r="B2129" s="152" t="s">
        <v>587</v>
      </c>
      <c r="D2129" s="88" t="s">
        <v>50</v>
      </c>
      <c r="E2129" s="89">
        <v>9.0649999999999995</v>
      </c>
      <c r="F2129" s="264"/>
      <c r="G2129" s="91"/>
      <c r="H2129" s="264"/>
      <c r="I2129" s="153"/>
      <c r="J2129" s="92"/>
      <c r="K2129" s="92"/>
      <c r="L2129" s="93" t="s">
        <v>50</v>
      </c>
      <c r="M2129" s="13">
        <f>E2129</f>
        <v>9.0649999999999995</v>
      </c>
    </row>
    <row r="2130" spans="1:13" s="10" customFormat="1" ht="12.75">
      <c r="A2130" s="269"/>
      <c r="B2130" s="10" t="s">
        <v>548</v>
      </c>
      <c r="E2130" s="270" t="s">
        <v>121</v>
      </c>
      <c r="G2130" s="270"/>
      <c r="I2130" s="270"/>
      <c r="M2130" s="12"/>
    </row>
    <row r="2131" spans="1:13" s="10" customFormat="1" ht="12.75">
      <c r="A2131" s="269"/>
      <c r="B2131" s="152"/>
      <c r="E2131" s="270"/>
      <c r="G2131" s="270"/>
      <c r="I2131" s="270"/>
      <c r="M2131" s="12"/>
    </row>
    <row r="2132" spans="1:13" s="10" customFormat="1" ht="12.75">
      <c r="A2132" s="269"/>
      <c r="B2132" s="152" t="s">
        <v>902</v>
      </c>
      <c r="D2132" s="88" t="s">
        <v>50</v>
      </c>
      <c r="E2132" s="89">
        <v>19.908999999999999</v>
      </c>
      <c r="F2132" s="264"/>
      <c r="G2132" s="91"/>
      <c r="H2132" s="264"/>
      <c r="I2132" s="153"/>
      <c r="J2132" s="92"/>
      <c r="K2132" s="92"/>
      <c r="L2132" s="93" t="s">
        <v>50</v>
      </c>
      <c r="M2132" s="13">
        <f>E2132</f>
        <v>19.908999999999999</v>
      </c>
    </row>
    <row r="2133" spans="1:13" s="10" customFormat="1" ht="12.75">
      <c r="A2133" s="269"/>
      <c r="B2133" s="10" t="s">
        <v>548</v>
      </c>
      <c r="E2133" s="270" t="s">
        <v>121</v>
      </c>
      <c r="G2133" s="270"/>
      <c r="I2133" s="270"/>
      <c r="M2133" s="12"/>
    </row>
    <row r="2134" spans="1:13" s="10" customFormat="1" ht="12.75">
      <c r="A2134" s="269"/>
      <c r="B2134" s="152"/>
      <c r="E2134" s="270"/>
      <c r="G2134" s="270"/>
      <c r="I2134" s="270"/>
      <c r="M2134" s="12"/>
    </row>
    <row r="2135" spans="1:13" s="10" customFormat="1" ht="12.75">
      <c r="A2135" s="269"/>
      <c r="B2135" s="152" t="s">
        <v>596</v>
      </c>
      <c r="D2135" s="88" t="s">
        <v>50</v>
      </c>
      <c r="E2135" s="89">
        <v>22.225000000000001</v>
      </c>
      <c r="F2135" s="264"/>
      <c r="G2135" s="91"/>
      <c r="H2135" s="264"/>
      <c r="I2135" s="153"/>
      <c r="J2135" s="92"/>
      <c r="K2135" s="92"/>
      <c r="L2135" s="93" t="s">
        <v>50</v>
      </c>
      <c r="M2135" s="13">
        <f>E2135</f>
        <v>22.225000000000001</v>
      </c>
    </row>
    <row r="2136" spans="1:13" s="10" customFormat="1" ht="12.75">
      <c r="A2136" s="269"/>
      <c r="B2136" s="10" t="s">
        <v>548</v>
      </c>
      <c r="E2136" s="270" t="s">
        <v>121</v>
      </c>
      <c r="G2136" s="270"/>
      <c r="I2136" s="270"/>
      <c r="M2136" s="12"/>
    </row>
    <row r="2137" spans="1:13" s="10" customFormat="1" ht="12.75">
      <c r="A2137" s="269"/>
      <c r="B2137" s="152"/>
      <c r="E2137" s="270"/>
      <c r="G2137" s="270"/>
      <c r="I2137" s="270"/>
      <c r="M2137" s="12"/>
    </row>
    <row r="2138" spans="1:13" s="161" customFormat="1" ht="12.75">
      <c r="A2138" s="163"/>
      <c r="B2138" s="161" t="s">
        <v>10</v>
      </c>
      <c r="E2138" s="161" t="s">
        <v>149</v>
      </c>
      <c r="H2138" s="164"/>
      <c r="I2138" s="165" t="s">
        <v>265</v>
      </c>
      <c r="L2138" s="162" t="s">
        <v>50</v>
      </c>
      <c r="M2138" s="46">
        <f>SUM(M2066:M2135)</f>
        <v>245.173</v>
      </c>
    </row>
    <row r="2139" spans="1:13" s="10" customFormat="1" ht="12.75">
      <c r="A2139" s="11"/>
      <c r="H2139" s="132"/>
      <c r="I2139" s="94"/>
      <c r="L2139" s="93"/>
      <c r="M2139" s="158"/>
    </row>
    <row r="2140" spans="1:13" s="10" customFormat="1" ht="42.75" customHeight="1">
      <c r="A2140" s="106" t="str">
        <f>ORÇAMENTO!A255</f>
        <v>18.14</v>
      </c>
      <c r="B2140" s="107"/>
      <c r="C2140" s="383" t="str">
        <f>ORÇAMENTO!D255</f>
        <v>DEMOLIÇÃO MANUAL DE PISO VINÍLICO, INCLUSIVE AFASTAMENTO E EMPILHAMENTO, EXCLUSIVE TRANSPORTE E RETIRADA DO MATERIAL DEMOLIDO</v>
      </c>
      <c r="D2140" s="383"/>
      <c r="E2140" s="383"/>
      <c r="F2140" s="383"/>
      <c r="G2140" s="383"/>
      <c r="H2140" s="383"/>
      <c r="I2140" s="383"/>
      <c r="J2140" s="383"/>
      <c r="K2140" s="383"/>
      <c r="L2140" s="383"/>
      <c r="M2140" s="108" t="str">
        <f>ORÇAMENTO!E255</f>
        <v>M2</v>
      </c>
    </row>
    <row r="2141" spans="1:13" s="10" customFormat="1" ht="12.75">
      <c r="A2141" s="11"/>
      <c r="M2141" s="12"/>
    </row>
    <row r="2142" spans="1:13" s="10" customFormat="1" ht="12.75">
      <c r="A2142" s="269"/>
      <c r="B2142" s="10" t="s">
        <v>577</v>
      </c>
      <c r="D2142" s="88" t="s">
        <v>50</v>
      </c>
      <c r="E2142" s="89">
        <v>3.7519999999999998</v>
      </c>
      <c r="F2142" s="264"/>
      <c r="G2142" s="91"/>
      <c r="H2142" s="264"/>
      <c r="I2142" s="153"/>
      <c r="J2142" s="92"/>
      <c r="K2142" s="92"/>
      <c r="L2142" s="93" t="s">
        <v>50</v>
      </c>
      <c r="M2142" s="13">
        <f>E2142</f>
        <v>3.7519999999999998</v>
      </c>
    </row>
    <row r="2143" spans="1:13" s="10" customFormat="1" ht="12.75">
      <c r="A2143" s="269"/>
      <c r="B2143" s="10" t="s">
        <v>548</v>
      </c>
      <c r="E2143" s="270" t="s">
        <v>121</v>
      </c>
      <c r="G2143" s="270"/>
      <c r="I2143" s="270"/>
      <c r="M2143" s="12"/>
    </row>
    <row r="2144" spans="1:13" s="10" customFormat="1" ht="12.75">
      <c r="A2144" s="269"/>
      <c r="B2144" s="152"/>
      <c r="E2144" s="270"/>
      <c r="G2144" s="270"/>
      <c r="I2144" s="270"/>
      <c r="M2144" s="12"/>
    </row>
    <row r="2145" spans="1:13" s="10" customFormat="1" ht="12.75">
      <c r="A2145" s="269"/>
      <c r="B2145" s="10" t="s">
        <v>576</v>
      </c>
      <c r="D2145" s="88" t="s">
        <v>50</v>
      </c>
      <c r="E2145" s="89">
        <v>3.7519999999999998</v>
      </c>
      <c r="F2145" s="264"/>
      <c r="G2145" s="91"/>
      <c r="H2145" s="264"/>
      <c r="I2145" s="153"/>
      <c r="J2145" s="92"/>
      <c r="K2145" s="92"/>
      <c r="L2145" s="93" t="s">
        <v>50</v>
      </c>
      <c r="M2145" s="13">
        <f>E2145</f>
        <v>3.7519999999999998</v>
      </c>
    </row>
    <row r="2146" spans="1:13" s="10" customFormat="1" ht="12.75">
      <c r="A2146" s="269"/>
      <c r="B2146" s="10" t="s">
        <v>548</v>
      </c>
      <c r="E2146" s="270" t="s">
        <v>121</v>
      </c>
      <c r="G2146" s="270"/>
      <c r="I2146" s="270"/>
      <c r="M2146" s="12"/>
    </row>
    <row r="2147" spans="1:13" s="10" customFormat="1" ht="12.75">
      <c r="A2147" s="269"/>
      <c r="B2147" s="152"/>
      <c r="E2147" s="270"/>
      <c r="G2147" s="270"/>
      <c r="I2147" s="270"/>
      <c r="M2147" s="12"/>
    </row>
    <row r="2148" spans="1:13" s="10" customFormat="1" ht="12.75">
      <c r="A2148" s="269"/>
      <c r="B2148" s="152" t="s">
        <v>583</v>
      </c>
      <c r="D2148" s="88" t="s">
        <v>50</v>
      </c>
      <c r="E2148" s="89">
        <v>8.1430000000000007</v>
      </c>
      <c r="F2148" s="264"/>
      <c r="G2148" s="91"/>
      <c r="H2148" s="264"/>
      <c r="I2148" s="153"/>
      <c r="J2148" s="92"/>
      <c r="K2148" s="92"/>
      <c r="L2148" s="93" t="s">
        <v>50</v>
      </c>
      <c r="M2148" s="13">
        <f>E2148</f>
        <v>8.1430000000000007</v>
      </c>
    </row>
    <row r="2149" spans="1:13" s="10" customFormat="1" ht="12.75">
      <c r="A2149" s="269"/>
      <c r="B2149" s="10" t="s">
        <v>548</v>
      </c>
      <c r="E2149" s="270" t="s">
        <v>121</v>
      </c>
      <c r="G2149" s="270"/>
      <c r="I2149" s="270"/>
      <c r="M2149" s="12"/>
    </row>
    <row r="2150" spans="1:13" s="10" customFormat="1" ht="12.75">
      <c r="A2150" s="269"/>
      <c r="B2150" s="152"/>
      <c r="E2150" s="270"/>
      <c r="G2150" s="270"/>
      <c r="I2150" s="270"/>
      <c r="M2150" s="12"/>
    </row>
    <row r="2151" spans="1:13" s="10" customFormat="1" ht="12.75">
      <c r="A2151" s="269"/>
      <c r="B2151" s="152" t="s">
        <v>584</v>
      </c>
      <c r="D2151" s="88" t="s">
        <v>50</v>
      </c>
      <c r="E2151" s="89">
        <v>9.25</v>
      </c>
      <c r="F2151" s="264"/>
      <c r="G2151" s="91"/>
      <c r="H2151" s="264"/>
      <c r="I2151" s="153"/>
      <c r="J2151" s="92"/>
      <c r="K2151" s="92"/>
      <c r="L2151" s="93" t="s">
        <v>50</v>
      </c>
      <c r="M2151" s="13">
        <f>E2151</f>
        <v>9.25</v>
      </c>
    </row>
    <row r="2152" spans="1:13" s="10" customFormat="1" ht="12.75">
      <c r="A2152" s="269"/>
      <c r="B2152" s="10" t="s">
        <v>548</v>
      </c>
      <c r="E2152" s="270" t="s">
        <v>121</v>
      </c>
      <c r="G2152" s="270"/>
      <c r="I2152" s="270"/>
      <c r="M2152" s="12"/>
    </row>
    <row r="2153" spans="1:13" s="10" customFormat="1" ht="12.75">
      <c r="A2153" s="269"/>
      <c r="B2153" s="152"/>
      <c r="E2153" s="270"/>
      <c r="G2153" s="270"/>
      <c r="I2153" s="270"/>
      <c r="M2153" s="12"/>
    </row>
    <row r="2154" spans="1:13" s="10" customFormat="1" ht="12.75">
      <c r="A2154" s="269"/>
      <c r="B2154" s="152" t="s">
        <v>585</v>
      </c>
      <c r="D2154" s="88" t="s">
        <v>50</v>
      </c>
      <c r="E2154" s="89">
        <v>9</v>
      </c>
      <c r="F2154" s="264"/>
      <c r="G2154" s="91"/>
      <c r="H2154" s="264"/>
      <c r="I2154" s="153"/>
      <c r="J2154" s="92"/>
      <c r="K2154" s="92"/>
      <c r="L2154" s="93" t="s">
        <v>50</v>
      </c>
      <c r="M2154" s="13">
        <f>E2154</f>
        <v>9</v>
      </c>
    </row>
    <row r="2155" spans="1:13" s="10" customFormat="1" ht="12.75">
      <c r="A2155" s="269"/>
      <c r="B2155" s="10" t="s">
        <v>548</v>
      </c>
      <c r="E2155" s="270" t="s">
        <v>121</v>
      </c>
      <c r="G2155" s="270"/>
      <c r="I2155" s="270"/>
      <c r="M2155" s="12"/>
    </row>
    <row r="2156" spans="1:13" s="10" customFormat="1" ht="12.75">
      <c r="A2156" s="269"/>
      <c r="B2156" s="152"/>
      <c r="E2156" s="270"/>
      <c r="G2156" s="270"/>
      <c r="I2156" s="270"/>
      <c r="M2156" s="12"/>
    </row>
    <row r="2157" spans="1:13" s="10" customFormat="1" ht="12.75">
      <c r="A2157" s="269"/>
      <c r="B2157" s="152" t="s">
        <v>586</v>
      </c>
      <c r="D2157" s="88" t="s">
        <v>50</v>
      </c>
      <c r="E2157" s="89">
        <v>9.1750000000000007</v>
      </c>
      <c r="F2157" s="264"/>
      <c r="G2157" s="91"/>
      <c r="H2157" s="264"/>
      <c r="I2157" s="153"/>
      <c r="J2157" s="92"/>
      <c r="K2157" s="92"/>
      <c r="L2157" s="93" t="s">
        <v>50</v>
      </c>
      <c r="M2157" s="13">
        <f>E2157</f>
        <v>9.1750000000000007</v>
      </c>
    </row>
    <row r="2158" spans="1:13" s="10" customFormat="1" ht="12.75">
      <c r="A2158" s="269"/>
      <c r="B2158" s="10" t="s">
        <v>548</v>
      </c>
      <c r="E2158" s="270" t="s">
        <v>121</v>
      </c>
      <c r="G2158" s="270"/>
      <c r="I2158" s="270"/>
      <c r="M2158" s="12"/>
    </row>
    <row r="2159" spans="1:13" s="10" customFormat="1" ht="12.75">
      <c r="A2159" s="269"/>
      <c r="B2159" s="152"/>
      <c r="E2159" s="270"/>
      <c r="G2159" s="270"/>
      <c r="I2159" s="270"/>
      <c r="M2159" s="12"/>
    </row>
    <row r="2160" spans="1:13" s="10" customFormat="1" ht="12.75">
      <c r="A2160" s="269"/>
      <c r="B2160" s="152" t="s">
        <v>587</v>
      </c>
      <c r="D2160" s="88" t="s">
        <v>50</v>
      </c>
      <c r="E2160" s="89">
        <v>9.0649999999999995</v>
      </c>
      <c r="F2160" s="264"/>
      <c r="G2160" s="91"/>
      <c r="H2160" s="264"/>
      <c r="I2160" s="153"/>
      <c r="J2160" s="92"/>
      <c r="K2160" s="92"/>
      <c r="L2160" s="93" t="s">
        <v>50</v>
      </c>
      <c r="M2160" s="13">
        <f>E2160</f>
        <v>9.0649999999999995</v>
      </c>
    </row>
    <row r="2161" spans="1:13" s="10" customFormat="1" ht="12.75">
      <c r="A2161" s="269"/>
      <c r="B2161" s="10" t="s">
        <v>548</v>
      </c>
      <c r="E2161" s="270" t="s">
        <v>121</v>
      </c>
      <c r="G2161" s="270"/>
      <c r="I2161" s="270"/>
      <c r="M2161" s="12"/>
    </row>
    <row r="2162" spans="1:13" s="10" customFormat="1" ht="12.75">
      <c r="A2162" s="269"/>
      <c r="B2162" s="152"/>
      <c r="E2162" s="270"/>
      <c r="G2162" s="270"/>
      <c r="I2162" s="270"/>
      <c r="M2162" s="12"/>
    </row>
    <row r="2163" spans="1:13" s="10" customFormat="1" ht="12.75">
      <c r="A2163" s="269"/>
      <c r="B2163" s="152" t="s">
        <v>902</v>
      </c>
      <c r="D2163" s="88" t="s">
        <v>50</v>
      </c>
      <c r="E2163" s="89">
        <v>19.908999999999999</v>
      </c>
      <c r="F2163" s="264"/>
      <c r="G2163" s="91"/>
      <c r="H2163" s="264"/>
      <c r="I2163" s="153"/>
      <c r="J2163" s="92"/>
      <c r="K2163" s="92"/>
      <c r="L2163" s="93" t="s">
        <v>50</v>
      </c>
      <c r="M2163" s="13">
        <f>E2163</f>
        <v>19.908999999999999</v>
      </c>
    </row>
    <row r="2164" spans="1:13" s="10" customFormat="1" ht="12.75">
      <c r="A2164" s="269"/>
      <c r="B2164" s="10" t="s">
        <v>548</v>
      </c>
      <c r="E2164" s="270" t="s">
        <v>121</v>
      </c>
      <c r="G2164" s="270"/>
      <c r="I2164" s="270"/>
      <c r="M2164" s="12"/>
    </row>
    <row r="2165" spans="1:13" s="10" customFormat="1" ht="12.75">
      <c r="A2165" s="269"/>
      <c r="B2165" s="152"/>
      <c r="E2165" s="270"/>
      <c r="G2165" s="270"/>
      <c r="I2165" s="270"/>
      <c r="M2165" s="12"/>
    </row>
    <row r="2166" spans="1:13" s="10" customFormat="1" ht="12.75">
      <c r="A2166" s="269"/>
      <c r="B2166" s="152" t="s">
        <v>596</v>
      </c>
      <c r="D2166" s="88" t="s">
        <v>50</v>
      </c>
      <c r="E2166" s="89">
        <v>22.225000000000001</v>
      </c>
      <c r="F2166" s="264"/>
      <c r="G2166" s="91"/>
      <c r="H2166" s="264"/>
      <c r="I2166" s="153"/>
      <c r="J2166" s="92"/>
      <c r="K2166" s="92"/>
      <c r="L2166" s="93" t="s">
        <v>50</v>
      </c>
      <c r="M2166" s="13">
        <f>E2166</f>
        <v>22.225000000000001</v>
      </c>
    </row>
    <row r="2167" spans="1:13" s="10" customFormat="1" ht="12.75">
      <c r="A2167" s="269"/>
      <c r="B2167" s="10" t="s">
        <v>548</v>
      </c>
      <c r="E2167" s="270" t="s">
        <v>121</v>
      </c>
      <c r="G2167" s="270"/>
      <c r="I2167" s="270"/>
      <c r="M2167" s="12"/>
    </row>
    <row r="2168" spans="1:13" s="10" customFormat="1" ht="12.75">
      <c r="A2168" s="269"/>
      <c r="B2168" s="152"/>
      <c r="E2168" s="270"/>
      <c r="G2168" s="270"/>
      <c r="I2168" s="270"/>
      <c r="M2168" s="12"/>
    </row>
    <row r="2169" spans="1:13" s="161" customFormat="1" ht="12.75">
      <c r="A2169" s="163"/>
      <c r="B2169" s="161" t="s">
        <v>10</v>
      </c>
      <c r="E2169" s="161" t="s">
        <v>149</v>
      </c>
      <c r="H2169" s="164"/>
      <c r="I2169" s="165" t="s">
        <v>265</v>
      </c>
      <c r="L2169" s="162" t="s">
        <v>50</v>
      </c>
      <c r="M2169" s="46">
        <f>SUM(M2142:M2166)</f>
        <v>94.270999999999987</v>
      </c>
    </row>
    <row r="2170" spans="1:13" s="10" customFormat="1" ht="12.75">
      <c r="A2170" s="11"/>
      <c r="H2170" s="132"/>
      <c r="I2170" s="94"/>
      <c r="L2170" s="93"/>
      <c r="M2170" s="158"/>
    </row>
    <row r="2171" spans="1:13" s="10" customFormat="1" ht="42.75" customHeight="1">
      <c r="A2171" s="38" t="str">
        <f>ORÇAMENTO!A256</f>
        <v>18.15</v>
      </c>
      <c r="B2171" s="86"/>
      <c r="C2171" s="388" t="str">
        <f>ORÇAMENTO!D256</f>
        <v>REMOÇÃO DE TRAMA DE MADEIRA PARA COBERTURA, DE FORMA MANUAL, SEM REAPROVEITAMENTO. AF_09/2023</v>
      </c>
      <c r="D2171" s="388"/>
      <c r="E2171" s="388"/>
      <c r="F2171" s="388"/>
      <c r="G2171" s="388"/>
      <c r="H2171" s="388"/>
      <c r="I2171" s="388"/>
      <c r="J2171" s="388"/>
      <c r="K2171" s="388"/>
      <c r="L2171" s="388"/>
      <c r="M2171" s="47" t="str">
        <f>ORÇAMENTO!E256</f>
        <v>M2</v>
      </c>
    </row>
    <row r="2172" spans="1:13" s="10" customFormat="1" ht="12.75">
      <c r="A2172" s="11"/>
      <c r="M2172" s="12"/>
    </row>
    <row r="2173" spans="1:13" s="10" customFormat="1" ht="12.75">
      <c r="A2173" s="11"/>
      <c r="B2173" s="10" t="s">
        <v>589</v>
      </c>
      <c r="D2173" s="88" t="s">
        <v>50</v>
      </c>
      <c r="E2173" s="141">
        <v>28.492999999999999</v>
      </c>
      <c r="F2173" s="142"/>
      <c r="G2173" s="148"/>
      <c r="H2173" s="142"/>
      <c r="I2173" s="143"/>
      <c r="J2173" s="144"/>
      <c r="K2173" s="144"/>
      <c r="L2173" s="145" t="s">
        <v>50</v>
      </c>
      <c r="M2173" s="146">
        <f>E2173</f>
        <v>28.492999999999999</v>
      </c>
    </row>
    <row r="2174" spans="1:13" s="10" customFormat="1" ht="12.75">
      <c r="A2174" s="11"/>
      <c r="B2174" s="10" t="s">
        <v>548</v>
      </c>
      <c r="E2174" s="138" t="s">
        <v>121</v>
      </c>
      <c r="F2174"/>
      <c r="G2174" s="138"/>
      <c r="H2174"/>
      <c r="I2174" s="138"/>
      <c r="J2174"/>
      <c r="K2174"/>
      <c r="L2174"/>
      <c r="M2174" s="139"/>
    </row>
    <row r="2175" spans="1:13" s="10" customFormat="1" ht="12.75">
      <c r="A2175" s="11"/>
      <c r="M2175" s="12"/>
    </row>
    <row r="2176" spans="1:13" s="161" customFormat="1" ht="12.75">
      <c r="A2176" s="163"/>
      <c r="B2176" s="161" t="s">
        <v>10</v>
      </c>
      <c r="E2176" s="161" t="s">
        <v>149</v>
      </c>
      <c r="H2176" s="164"/>
      <c r="I2176" s="165" t="s">
        <v>265</v>
      </c>
      <c r="L2176" s="162" t="s">
        <v>50</v>
      </c>
      <c r="M2176" s="46">
        <f>SUM(M2173)</f>
        <v>28.492999999999999</v>
      </c>
    </row>
    <row r="2177" spans="1:13" s="10" customFormat="1" ht="12.75">
      <c r="A2177" s="11"/>
      <c r="H2177" s="132"/>
      <c r="I2177" s="94"/>
      <c r="L2177" s="93"/>
      <c r="M2177" s="158"/>
    </row>
    <row r="2178" spans="1:13" s="10" customFormat="1" ht="42.75" customHeight="1">
      <c r="A2178" s="38" t="str">
        <f>ORÇAMENTO!A257</f>
        <v>18.16</v>
      </c>
      <c r="B2178" s="86"/>
      <c r="C2178" s="388" t="str">
        <f>ORÇAMENTO!D257</f>
        <v>REMOÇÃO DE PORTAS, DE FORMA MANUAL, SEM REAPROVEITAMENTO. AF_09/2023</v>
      </c>
      <c r="D2178" s="388"/>
      <c r="E2178" s="388"/>
      <c r="F2178" s="388"/>
      <c r="G2178" s="388"/>
      <c r="H2178" s="388"/>
      <c r="I2178" s="388"/>
      <c r="J2178" s="388"/>
      <c r="K2178" s="388"/>
      <c r="L2178" s="388"/>
      <c r="M2178" s="47" t="str">
        <f>ORÇAMENTO!E257</f>
        <v>M2</v>
      </c>
    </row>
    <row r="2179" spans="1:13" s="10" customFormat="1" ht="12.75">
      <c r="A2179" s="11"/>
      <c r="M2179" s="12"/>
    </row>
    <row r="2180" spans="1:13" s="10" customFormat="1" ht="12.75">
      <c r="A2180" s="11"/>
      <c r="B2180" s="10" t="s">
        <v>873</v>
      </c>
      <c r="D2180" s="88" t="s">
        <v>50</v>
      </c>
      <c r="E2180" s="141">
        <v>1.1020000000000001</v>
      </c>
      <c r="F2180" s="257" t="s">
        <v>69</v>
      </c>
      <c r="G2180" s="89">
        <v>2.1</v>
      </c>
      <c r="H2180" s="257" t="s">
        <v>69</v>
      </c>
      <c r="I2180" s="89">
        <v>1</v>
      </c>
      <c r="J2180" s="257"/>
      <c r="K2180" s="91"/>
      <c r="L2180" s="93" t="s">
        <v>50</v>
      </c>
      <c r="M2180" s="13">
        <f>E2180*G2180*I2180</f>
        <v>2.3142000000000005</v>
      </c>
    </row>
    <row r="2181" spans="1:13" s="10" customFormat="1" ht="12.75">
      <c r="A2181" s="11"/>
      <c r="B2181" s="10" t="s">
        <v>548</v>
      </c>
      <c r="E2181" s="138" t="s">
        <v>120</v>
      </c>
      <c r="G2181" s="257" t="s">
        <v>264</v>
      </c>
      <c r="I2181" s="257" t="s">
        <v>680</v>
      </c>
      <c r="K2181" s="99"/>
      <c r="M2181" s="12"/>
    </row>
    <row r="2182" spans="1:13" s="10" customFormat="1" ht="12.75">
      <c r="A2182" s="11"/>
      <c r="M2182" s="12"/>
    </row>
    <row r="2183" spans="1:13" s="10" customFormat="1" ht="12.75">
      <c r="A2183" s="11"/>
      <c r="B2183" s="10" t="s">
        <v>589</v>
      </c>
      <c r="D2183" s="88" t="s">
        <v>50</v>
      </c>
      <c r="E2183" s="141">
        <v>0.8</v>
      </c>
      <c r="F2183" s="257" t="s">
        <v>69</v>
      </c>
      <c r="G2183" s="89">
        <v>2.1</v>
      </c>
      <c r="H2183" s="257" t="s">
        <v>69</v>
      </c>
      <c r="I2183" s="89">
        <v>2</v>
      </c>
      <c r="J2183" s="257"/>
      <c r="K2183" s="91"/>
      <c r="L2183" s="93" t="s">
        <v>50</v>
      </c>
      <c r="M2183" s="13">
        <f>E2183*G2183*I2183</f>
        <v>3.3600000000000003</v>
      </c>
    </row>
    <row r="2184" spans="1:13" s="10" customFormat="1" ht="12.75">
      <c r="A2184" s="11"/>
      <c r="B2184" s="10" t="s">
        <v>548</v>
      </c>
      <c r="E2184" s="138" t="s">
        <v>120</v>
      </c>
      <c r="G2184" s="257" t="s">
        <v>264</v>
      </c>
      <c r="I2184" s="257" t="s">
        <v>680</v>
      </c>
      <c r="K2184" s="99"/>
      <c r="M2184" s="12"/>
    </row>
    <row r="2185" spans="1:13" s="10" customFormat="1" ht="12.75">
      <c r="A2185" s="11"/>
      <c r="M2185" s="12"/>
    </row>
    <row r="2186" spans="1:13" s="10" customFormat="1" ht="12.75">
      <c r="A2186" s="11"/>
      <c r="B2186" s="10" t="s">
        <v>874</v>
      </c>
      <c r="D2186" s="88" t="s">
        <v>50</v>
      </c>
      <c r="E2186" s="141">
        <v>0.9</v>
      </c>
      <c r="F2186" s="257" t="s">
        <v>69</v>
      </c>
      <c r="G2186" s="89">
        <v>2.1</v>
      </c>
      <c r="H2186" s="257" t="s">
        <v>69</v>
      </c>
      <c r="I2186" s="89">
        <v>1</v>
      </c>
      <c r="J2186" s="257"/>
      <c r="K2186" s="91"/>
      <c r="L2186" s="93" t="s">
        <v>50</v>
      </c>
      <c r="M2186" s="13">
        <f>E2186*G2186*I2186</f>
        <v>1.8900000000000001</v>
      </c>
    </row>
    <row r="2187" spans="1:13" s="10" customFormat="1" ht="12.75">
      <c r="A2187" s="11"/>
      <c r="B2187" s="10" t="s">
        <v>645</v>
      </c>
      <c r="E2187" s="138" t="s">
        <v>120</v>
      </c>
      <c r="G2187" s="257" t="s">
        <v>264</v>
      </c>
      <c r="I2187" s="257" t="s">
        <v>680</v>
      </c>
      <c r="K2187" s="99"/>
      <c r="M2187" s="12"/>
    </row>
    <row r="2188" spans="1:13" s="10" customFormat="1" ht="12.75">
      <c r="A2188" s="11"/>
      <c r="M2188" s="12"/>
    </row>
    <row r="2189" spans="1:13" s="10" customFormat="1" ht="12.75">
      <c r="A2189" s="11"/>
      <c r="B2189" s="10" t="s">
        <v>846</v>
      </c>
      <c r="D2189" s="88" t="s">
        <v>50</v>
      </c>
      <c r="E2189" s="141">
        <v>0.7</v>
      </c>
      <c r="F2189" s="257" t="s">
        <v>69</v>
      </c>
      <c r="G2189" s="89">
        <v>2.1</v>
      </c>
      <c r="H2189" s="257" t="s">
        <v>69</v>
      </c>
      <c r="I2189" s="89">
        <v>2</v>
      </c>
      <c r="J2189" s="257"/>
      <c r="K2189" s="91"/>
      <c r="L2189" s="93" t="s">
        <v>50</v>
      </c>
      <c r="M2189" s="13">
        <f>E2189*G2189*I2189</f>
        <v>2.94</v>
      </c>
    </row>
    <row r="2190" spans="1:13" s="10" customFormat="1" ht="12.75">
      <c r="A2190" s="11"/>
      <c r="B2190" s="10" t="s">
        <v>548</v>
      </c>
      <c r="E2190" s="138" t="s">
        <v>120</v>
      </c>
      <c r="G2190" s="257" t="s">
        <v>264</v>
      </c>
      <c r="I2190" s="257" t="s">
        <v>680</v>
      </c>
      <c r="K2190" s="99"/>
      <c r="M2190" s="12"/>
    </row>
    <row r="2191" spans="1:13" s="10" customFormat="1" ht="12.75">
      <c r="A2191" s="11"/>
      <c r="M2191" s="12"/>
    </row>
    <row r="2192" spans="1:13" s="161" customFormat="1" ht="12.75">
      <c r="A2192" s="163"/>
      <c r="B2192" s="161" t="s">
        <v>10</v>
      </c>
      <c r="E2192" s="161" t="s">
        <v>149</v>
      </c>
      <c r="H2192" s="164"/>
      <c r="I2192" s="165" t="s">
        <v>265</v>
      </c>
      <c r="L2192" s="162" t="s">
        <v>50</v>
      </c>
      <c r="M2192" s="46">
        <f>SUM(M2180:M2189)</f>
        <v>10.504200000000001</v>
      </c>
    </row>
    <row r="2193" spans="1:13" s="10" customFormat="1" ht="12.75">
      <c r="A2193" s="11"/>
      <c r="H2193" s="132"/>
      <c r="I2193" s="94"/>
      <c r="L2193" s="93"/>
      <c r="M2193" s="158"/>
    </row>
    <row r="2194" spans="1:13" s="10" customFormat="1" ht="12.75">
      <c r="A2194" s="389"/>
      <c r="B2194" s="390"/>
      <c r="C2194" s="390"/>
      <c r="D2194" s="390"/>
      <c r="E2194" s="390"/>
      <c r="F2194" s="390"/>
      <c r="G2194" s="390"/>
      <c r="H2194" s="390"/>
      <c r="I2194" s="390"/>
      <c r="J2194" s="390"/>
      <c r="K2194" s="390"/>
      <c r="L2194" s="390"/>
      <c r="M2194" s="391"/>
    </row>
    <row r="2195" spans="1:13" s="10" customFormat="1" ht="12.75">
      <c r="A2195" s="389"/>
      <c r="B2195" s="390"/>
      <c r="C2195" s="390"/>
      <c r="D2195" s="390"/>
      <c r="E2195" s="390"/>
      <c r="F2195" s="390"/>
      <c r="G2195" s="390"/>
      <c r="H2195" s="390"/>
      <c r="I2195" s="390"/>
      <c r="J2195" s="390"/>
      <c r="K2195" s="390"/>
      <c r="L2195" s="390"/>
      <c r="M2195" s="391"/>
    </row>
    <row r="2196" spans="1:13">
      <c r="A2196" s="281"/>
      <c r="B2196" s="282"/>
      <c r="C2196" s="282"/>
      <c r="D2196" s="282"/>
      <c r="E2196" s="282"/>
      <c r="F2196" s="282"/>
      <c r="G2196" s="282"/>
      <c r="H2196" s="282"/>
      <c r="I2196" s="282"/>
      <c r="J2196" s="282"/>
      <c r="K2196" s="282"/>
      <c r="L2196" s="282"/>
      <c r="M2196" s="283"/>
    </row>
    <row r="2197" spans="1:13">
      <c r="A2197" s="281"/>
      <c r="B2197" s="282"/>
      <c r="C2197" s="282"/>
      <c r="D2197" s="282"/>
      <c r="E2197" s="282"/>
      <c r="F2197" s="282"/>
      <c r="G2197" s="282"/>
      <c r="H2197" s="282"/>
      <c r="I2197" s="282"/>
      <c r="J2197" s="282"/>
      <c r="K2197" s="282"/>
      <c r="L2197" s="282"/>
      <c r="M2197" s="283"/>
    </row>
    <row r="2198" spans="1:13">
      <c r="A2198" s="284" t="s">
        <v>12</v>
      </c>
      <c r="B2198" s="285"/>
      <c r="C2198" s="285"/>
      <c r="D2198" s="285"/>
      <c r="E2198" s="285"/>
      <c r="F2198" s="285"/>
      <c r="G2198" s="285"/>
      <c r="H2198" s="285"/>
      <c r="I2198" s="285"/>
      <c r="J2198" s="285"/>
      <c r="K2198" s="285"/>
      <c r="L2198" s="285"/>
      <c r="M2198" s="286"/>
    </row>
    <row r="2199" spans="1:13">
      <c r="A2199" s="284" t="s">
        <v>29</v>
      </c>
      <c r="B2199" s="285"/>
      <c r="C2199" s="285"/>
      <c r="D2199" s="285"/>
      <c r="E2199" s="285"/>
      <c r="F2199" s="285"/>
      <c r="G2199" s="285"/>
      <c r="H2199" s="285"/>
      <c r="I2199" s="285"/>
      <c r="J2199" s="285"/>
      <c r="K2199" s="285"/>
      <c r="L2199" s="285"/>
      <c r="M2199" s="286"/>
    </row>
    <row r="2200" spans="1:13">
      <c r="A2200" s="275" t="s">
        <v>30</v>
      </c>
      <c r="B2200" s="276"/>
      <c r="C2200" s="276"/>
      <c r="D2200" s="276"/>
      <c r="E2200" s="276"/>
      <c r="F2200" s="276"/>
      <c r="G2200" s="276"/>
      <c r="H2200" s="276"/>
      <c r="I2200" s="276"/>
      <c r="J2200" s="276"/>
      <c r="K2200" s="276"/>
      <c r="L2200" s="276"/>
      <c r="M2200" s="277"/>
    </row>
    <row r="2201" spans="1:13">
      <c r="A2201" s="423"/>
      <c r="B2201" s="424"/>
      <c r="C2201" s="424"/>
      <c r="D2201" s="424"/>
      <c r="E2201" s="424"/>
      <c r="F2201" s="424"/>
      <c r="G2201" s="424"/>
      <c r="H2201" s="424"/>
      <c r="I2201" s="424"/>
      <c r="J2201" s="424"/>
      <c r="K2201" s="424"/>
      <c r="L2201" s="424"/>
      <c r="M2201" s="425"/>
    </row>
  </sheetData>
  <mergeCells count="180">
    <mergeCell ref="C1379:L1379"/>
    <mergeCell ref="C1330:M1330"/>
    <mergeCell ref="C1789:M1789"/>
    <mergeCell ref="C1791:L1791"/>
    <mergeCell ref="C1775:L1775"/>
    <mergeCell ref="C1782:L1782"/>
    <mergeCell ref="C1627:L1627"/>
    <mergeCell ref="C1773:M1773"/>
    <mergeCell ref="C1060:L1060"/>
    <mergeCell ref="C1887:L1887"/>
    <mergeCell ref="C1617:L1617"/>
    <mergeCell ref="C1157:L1157"/>
    <mergeCell ref="C1491:L1491"/>
    <mergeCell ref="C1498:L1498"/>
    <mergeCell ref="C1517:L1517"/>
    <mergeCell ref="C1314:M1314"/>
    <mergeCell ref="C1282:M1282"/>
    <mergeCell ref="C1266:L1266"/>
    <mergeCell ref="C1294:L1294"/>
    <mergeCell ref="C1450:L1450"/>
    <mergeCell ref="C1878:M1878"/>
    <mergeCell ref="C1727:L1727"/>
    <mergeCell ref="C1304:L1304"/>
    <mergeCell ref="C1332:L1332"/>
    <mergeCell ref="C1355:L1355"/>
    <mergeCell ref="C1188:L1188"/>
    <mergeCell ref="C1219:L1219"/>
    <mergeCell ref="C1804:L1804"/>
    <mergeCell ref="C1814:L1814"/>
    <mergeCell ref="C1821:L1821"/>
    <mergeCell ref="C1828:L1828"/>
    <mergeCell ref="C1853:L1853"/>
    <mergeCell ref="C1484:L1484"/>
    <mergeCell ref="C811:M811"/>
    <mergeCell ref="C528:L528"/>
    <mergeCell ref="C734:L734"/>
    <mergeCell ref="C711:L711"/>
    <mergeCell ref="C638:L638"/>
    <mergeCell ref="C670:L670"/>
    <mergeCell ref="C718:L718"/>
    <mergeCell ref="C725:L725"/>
    <mergeCell ref="C760:L760"/>
    <mergeCell ref="C613:L613"/>
    <mergeCell ref="C677:L677"/>
    <mergeCell ref="C803:M803"/>
    <mergeCell ref="C701:L701"/>
    <mergeCell ref="C807:M807"/>
    <mergeCell ref="C663:L663"/>
    <mergeCell ref="C144:L144"/>
    <mergeCell ref="C767:L767"/>
    <mergeCell ref="C777:L777"/>
    <mergeCell ref="C450:L450"/>
    <mergeCell ref="C466:L466"/>
    <mergeCell ref="C434:L434"/>
    <mergeCell ref="C315:L315"/>
    <mergeCell ref="C611:M611"/>
    <mergeCell ref="C281:L281"/>
    <mergeCell ref="C173:L173"/>
    <mergeCell ref="C193:L193"/>
    <mergeCell ref="C183:L183"/>
    <mergeCell ref="C311:M311"/>
    <mergeCell ref="C313:M313"/>
    <mergeCell ref="C291:L291"/>
    <mergeCell ref="C301:L301"/>
    <mergeCell ref="C171:M171"/>
    <mergeCell ref="C498:M498"/>
    <mergeCell ref="C567:L567"/>
    <mergeCell ref="C335:L335"/>
    <mergeCell ref="C476:L476"/>
    <mergeCell ref="C357:L357"/>
    <mergeCell ref="C389:L389"/>
    <mergeCell ref="C355:M355"/>
    <mergeCell ref="A2201:M2201"/>
    <mergeCell ref="A2200:M2200"/>
    <mergeCell ref="C1894:M1894"/>
    <mergeCell ref="A2196:M2196"/>
    <mergeCell ref="A2197:M2197"/>
    <mergeCell ref="A2198:M2198"/>
    <mergeCell ref="A2199:M2199"/>
    <mergeCell ref="C1896:L1896"/>
    <mergeCell ref="C1903:L1903"/>
    <mergeCell ref="C48:M48"/>
    <mergeCell ref="C1284:L1284"/>
    <mergeCell ref="C50:L50"/>
    <mergeCell ref="C84:L84"/>
    <mergeCell ref="C1960:L1960"/>
    <mergeCell ref="C732:M732"/>
    <mergeCell ref="C1377:M1377"/>
    <mergeCell ref="C164:L164"/>
    <mergeCell ref="C1970:L1970"/>
    <mergeCell ref="C1092:L1092"/>
    <mergeCell ref="C1085:L1085"/>
    <mergeCell ref="C909:L909"/>
    <mergeCell ref="C747:L747"/>
    <mergeCell ref="C408:L408"/>
    <mergeCell ref="C907:M907"/>
    <mergeCell ref="C813:L813"/>
    <mergeCell ref="C823:L823"/>
    <mergeCell ref="C833:L833"/>
    <mergeCell ref="C94:L94"/>
    <mergeCell ref="C1009:L1009"/>
    <mergeCell ref="C945:M945"/>
    <mergeCell ref="C203:L203"/>
    <mergeCell ref="C231:L231"/>
    <mergeCell ref="C271:L271"/>
    <mergeCell ref="C18:L18"/>
    <mergeCell ref="C1880:L1880"/>
    <mergeCell ref="A1:B1"/>
    <mergeCell ref="C1:M1"/>
    <mergeCell ref="A2:M2"/>
    <mergeCell ref="A3:K3"/>
    <mergeCell ref="C126:M126"/>
    <mergeCell ref="C128:M128"/>
    <mergeCell ref="C137:L137"/>
    <mergeCell ref="C130:L130"/>
    <mergeCell ref="D7:M7"/>
    <mergeCell ref="A8:M8"/>
    <mergeCell ref="A4:K4"/>
    <mergeCell ref="L5:M5"/>
    <mergeCell ref="A5:K5"/>
    <mergeCell ref="A6:K6"/>
    <mergeCell ref="A7:C7"/>
    <mergeCell ref="H13:I13"/>
    <mergeCell ref="C11:L11"/>
    <mergeCell ref="C38:L38"/>
    <mergeCell ref="C28:L28"/>
    <mergeCell ref="C691:L691"/>
    <mergeCell ref="C1019:L1019"/>
    <mergeCell ref="C1050:L1050"/>
    <mergeCell ref="C405:M405"/>
    <mergeCell ref="C259:M259"/>
    <mergeCell ref="C325:L325"/>
    <mergeCell ref="C373:L373"/>
    <mergeCell ref="C261:L261"/>
    <mergeCell ref="C583:L583"/>
    <mergeCell ref="C500:L500"/>
    <mergeCell ref="C554:L554"/>
    <mergeCell ref="C538:L538"/>
    <mergeCell ref="C424:L424"/>
    <mergeCell ref="C151:L151"/>
    <mergeCell ref="C110:L110"/>
    <mergeCell ref="C1984:L1984"/>
    <mergeCell ref="A2195:M2195"/>
    <mergeCell ref="A2194:M2194"/>
    <mergeCell ref="C2015:L2015"/>
    <mergeCell ref="C2064:L2064"/>
    <mergeCell ref="C2140:L2140"/>
    <mergeCell ref="C1940:L1940"/>
    <mergeCell ref="C1977:L1977"/>
    <mergeCell ref="C1920:L1920"/>
    <mergeCell ref="C1930:L1930"/>
    <mergeCell ref="C1950:L1950"/>
    <mergeCell ref="C1910:L1910"/>
    <mergeCell ref="C2171:L2171"/>
    <mergeCell ref="C2178:L2178"/>
    <mergeCell ref="C1419:L1419"/>
    <mergeCell ref="C1111:L1111"/>
    <mergeCell ref="C1323:L1323"/>
    <mergeCell ref="C790:L790"/>
    <mergeCell ref="C1316:L1316"/>
    <mergeCell ref="C684:L684"/>
    <mergeCell ref="C1250:L1250"/>
    <mergeCell ref="C345:L345"/>
    <mergeCell ref="C840:L840"/>
    <mergeCell ref="C853:L853"/>
    <mergeCell ref="C860:L860"/>
    <mergeCell ref="C867:L867"/>
    <mergeCell ref="C881:L881"/>
    <mergeCell ref="C894:L894"/>
    <mergeCell ref="C1131:M1131"/>
    <mergeCell ref="C1153:M1153"/>
    <mergeCell ref="C1155:M1155"/>
    <mergeCell ref="C1133:L1133"/>
    <mergeCell ref="C1121:L1121"/>
    <mergeCell ref="C1102:L1102"/>
    <mergeCell ref="C978:L978"/>
    <mergeCell ref="C1143:L1143"/>
    <mergeCell ref="C943:M943"/>
    <mergeCell ref="C1109:M1109"/>
    <mergeCell ref="C947:L947"/>
  </mergeCells>
  <phoneticPr fontId="22" type="noConversion"/>
  <printOptions horizontalCentered="1"/>
  <pageMargins left="0.31496062992125984" right="0.31496062992125984" top="0.78740157480314965" bottom="0.78740157480314965" header="0.31496062992125984" footer="0.31496062992125984"/>
  <pageSetup paperSize="9" scale="68" orientation="portrait" horizontalDpi="4294967292"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EB1E0-0CD0-4998-B95D-5D18BA3AAC1A}">
  <dimension ref="A1:Q57"/>
  <sheetViews>
    <sheetView view="pageBreakPreview" topLeftCell="A7" zoomScale="85" zoomScaleNormal="100" zoomScaleSheetLayoutView="85" workbookViewId="0">
      <selection activeCell="A2" sqref="A2:J2"/>
    </sheetView>
  </sheetViews>
  <sheetFormatPr defaultRowHeight="12.75"/>
  <cols>
    <col min="1" max="10" width="13.5703125" customWidth="1"/>
  </cols>
  <sheetData>
    <row r="1" spans="1:10" s="10" customFormat="1" ht="63" customHeight="1">
      <c r="A1" s="316"/>
      <c r="B1" s="316"/>
      <c r="C1" s="316"/>
      <c r="D1" s="316"/>
      <c r="E1" s="316"/>
      <c r="F1" s="316"/>
      <c r="G1" s="316"/>
      <c r="H1" s="316"/>
      <c r="I1" s="316"/>
      <c r="J1" s="316"/>
    </row>
    <row r="2" spans="1:10" s="10" customFormat="1">
      <c r="A2" s="313" t="s">
        <v>352</v>
      </c>
      <c r="B2" s="313"/>
      <c r="C2" s="313"/>
      <c r="D2" s="313"/>
      <c r="E2" s="313"/>
      <c r="F2" s="313"/>
      <c r="G2" s="313"/>
      <c r="H2" s="313"/>
      <c r="I2" s="313"/>
      <c r="J2" s="313"/>
    </row>
    <row r="3" spans="1:10" s="10" customFormat="1">
      <c r="A3" s="314" t="str">
        <f>ORÇAMENTO!A3</f>
        <v>OBRA: PROJETO DE REFORMA E AMPLIAÇÃO DO NOVO PRONTO ATENDIMENTO DO MUNICÍPIO DE OURO FINO</v>
      </c>
      <c r="B3" s="314"/>
      <c r="C3" s="314"/>
      <c r="D3" s="314"/>
      <c r="E3" s="314"/>
      <c r="F3" s="314"/>
      <c r="G3" s="314"/>
      <c r="H3" s="314"/>
      <c r="I3" s="183" t="str">
        <f>ORÇAMENTO!H3</f>
        <v>DATA:</v>
      </c>
      <c r="J3" s="183">
        <f>ORÇAMENTO!I3</f>
        <v>46003</v>
      </c>
    </row>
    <row r="4" spans="1:10" s="10" customFormat="1">
      <c r="A4" s="315" t="str">
        <f>ORÇAMENTO!A4</f>
        <v>LOCAL: RUA 13 MAIO, CENTRO, OURO FINO - MG</v>
      </c>
      <c r="B4" s="315"/>
      <c r="C4" s="315"/>
      <c r="D4" s="315"/>
      <c r="E4" s="315"/>
      <c r="F4" s="315"/>
      <c r="G4" s="315"/>
      <c r="H4" s="315"/>
      <c r="I4" s="315"/>
      <c r="J4" s="315"/>
    </row>
    <row r="5" spans="1:10" s="10" customFormat="1">
      <c r="A5" s="475" t="str">
        <f>ORÇAMENTO!A5</f>
        <v>REGIÃO/MÊS DE REF.: SETOP SUL/JULHO 2025 S/ DESONERAÇÃO / SINAPI 09-2025 NÃO DESONERADO</v>
      </c>
      <c r="B5" s="475"/>
      <c r="C5" s="475"/>
      <c r="D5" s="475"/>
      <c r="E5" s="475"/>
      <c r="F5" s="475"/>
      <c r="G5" s="475"/>
      <c r="H5" s="475"/>
      <c r="I5" s="475"/>
      <c r="J5" s="475"/>
    </row>
    <row r="6" spans="1:10" s="10" customFormat="1" ht="12.75" customHeight="1">
      <c r="A6" s="378" t="str">
        <f>ORÇAMENTO!A6</f>
        <v>PRAZO DE EXECUÇÃO: 6 MESES</v>
      </c>
      <c r="B6" s="379"/>
      <c r="C6" s="379"/>
      <c r="D6" s="379"/>
      <c r="E6" s="379"/>
      <c r="F6" s="379"/>
      <c r="G6" s="379"/>
      <c r="H6" s="379"/>
      <c r="I6" s="379"/>
      <c r="J6" s="489"/>
    </row>
    <row r="7" spans="1:10" s="10" customFormat="1">
      <c r="A7" s="490" t="str">
        <f>ORÇAMENTO!A7</f>
        <v>VALOR ESTIMADO DA OBRA:</v>
      </c>
      <c r="B7" s="491"/>
      <c r="C7" s="492"/>
      <c r="D7" s="476">
        <f>ORÇAMENTO!D7</f>
        <v>786872.28</v>
      </c>
      <c r="E7" s="476"/>
      <c r="F7" s="476"/>
      <c r="G7" s="476"/>
      <c r="H7" s="476"/>
      <c r="I7" s="476"/>
      <c r="J7" s="476"/>
    </row>
    <row r="8" spans="1:10" s="10" customFormat="1">
      <c r="A8" s="448"/>
      <c r="B8" s="449"/>
      <c r="C8" s="449"/>
      <c r="D8" s="449"/>
      <c r="E8" s="449"/>
      <c r="F8" s="449"/>
      <c r="G8" s="449"/>
      <c r="H8" s="449"/>
      <c r="I8" s="449"/>
      <c r="J8" s="450"/>
    </row>
    <row r="9" spans="1:10" s="10" customFormat="1">
      <c r="A9" s="448"/>
      <c r="B9" s="449"/>
      <c r="C9" s="449"/>
      <c r="D9" s="449"/>
      <c r="E9" s="449"/>
      <c r="F9" s="449"/>
      <c r="G9" s="449"/>
      <c r="H9" s="449"/>
      <c r="I9" s="449"/>
      <c r="J9" s="450"/>
    </row>
    <row r="10" spans="1:10">
      <c r="A10" s="480" t="s">
        <v>335</v>
      </c>
      <c r="B10" s="481"/>
      <c r="C10" s="481"/>
      <c r="D10" s="481"/>
      <c r="E10" s="481"/>
      <c r="F10" s="481"/>
      <c r="G10" s="481"/>
      <c r="H10" s="481"/>
      <c r="I10" s="482">
        <v>0.6</v>
      </c>
      <c r="J10" s="483"/>
    </row>
    <row r="11" spans="1:10">
      <c r="A11" s="484" t="s">
        <v>336</v>
      </c>
      <c r="B11" s="485"/>
      <c r="C11" s="485"/>
      <c r="D11" s="485"/>
      <c r="E11" s="485"/>
      <c r="F11" s="485"/>
      <c r="G11" s="485"/>
      <c r="H11" s="485"/>
      <c r="I11" s="493">
        <v>0.05</v>
      </c>
      <c r="J11" s="494"/>
    </row>
    <row r="12" spans="1:10">
      <c r="A12" s="499"/>
      <c r="B12" s="499"/>
      <c r="C12" s="499"/>
      <c r="D12" s="499"/>
      <c r="E12" s="499"/>
      <c r="F12" s="499"/>
      <c r="G12" s="499"/>
      <c r="H12" s="499"/>
      <c r="I12" s="499"/>
      <c r="J12" s="499"/>
    </row>
    <row r="13" spans="1:10">
      <c r="A13" s="486"/>
      <c r="B13" s="487"/>
      <c r="C13" s="487"/>
      <c r="D13" s="487"/>
      <c r="E13" s="487"/>
      <c r="F13" s="487"/>
      <c r="G13" s="487"/>
      <c r="H13" s="487"/>
      <c r="I13" s="487"/>
      <c r="J13" s="488"/>
    </row>
    <row r="14" spans="1:10">
      <c r="A14" s="477" t="s">
        <v>11</v>
      </c>
      <c r="B14" s="478"/>
      <c r="C14" s="478"/>
      <c r="D14" s="478"/>
      <c r="E14" s="478"/>
      <c r="F14" s="478"/>
      <c r="G14" s="478"/>
      <c r="H14" s="478"/>
      <c r="I14" s="478"/>
      <c r="J14" s="479"/>
    </row>
    <row r="15" spans="1:10">
      <c r="A15" s="499"/>
      <c r="B15" s="499"/>
      <c r="C15" s="499"/>
      <c r="D15" s="499"/>
      <c r="E15" s="499"/>
      <c r="F15" s="499"/>
      <c r="G15" s="499"/>
      <c r="H15" s="499"/>
      <c r="I15" s="499"/>
      <c r="J15" s="499"/>
    </row>
    <row r="16" spans="1:10">
      <c r="A16" s="495" t="s">
        <v>337</v>
      </c>
      <c r="B16" s="495"/>
      <c r="C16" s="495"/>
      <c r="D16" s="495"/>
      <c r="E16" s="495"/>
      <c r="F16" s="495"/>
      <c r="G16" s="495"/>
      <c r="H16" s="495"/>
      <c r="I16" s="495"/>
      <c r="J16" s="495"/>
    </row>
    <row r="17" spans="1:10">
      <c r="A17" s="472"/>
      <c r="B17" s="473"/>
      <c r="C17" s="473"/>
      <c r="D17" s="473"/>
      <c r="E17" s="473"/>
      <c r="F17" s="473"/>
      <c r="G17" s="473"/>
      <c r="H17" s="473"/>
      <c r="I17" s="473"/>
      <c r="J17" s="474"/>
    </row>
    <row r="18" spans="1:10">
      <c r="A18" s="500" t="s">
        <v>338</v>
      </c>
      <c r="B18" s="501"/>
      <c r="C18" s="501"/>
      <c r="D18" s="501"/>
      <c r="E18" s="501"/>
      <c r="F18" s="501"/>
      <c r="G18" s="501"/>
      <c r="H18" s="501"/>
      <c r="I18" s="501"/>
      <c r="J18" s="502"/>
    </row>
    <row r="19" spans="1:10">
      <c r="A19" s="506"/>
      <c r="B19" s="507"/>
      <c r="C19" s="507"/>
      <c r="D19" s="507"/>
      <c r="E19" s="507"/>
      <c r="F19" s="507"/>
      <c r="G19" s="507"/>
      <c r="H19" s="507"/>
      <c r="I19" s="507"/>
      <c r="J19" s="508"/>
    </row>
    <row r="20" spans="1:10">
      <c r="A20" s="503"/>
      <c r="B20" s="504"/>
      <c r="C20" s="504"/>
      <c r="D20" s="504"/>
      <c r="E20" s="504"/>
      <c r="F20" s="504"/>
      <c r="G20" s="504"/>
      <c r="H20" s="504"/>
      <c r="I20" s="504"/>
      <c r="J20" s="505"/>
    </row>
    <row r="21" spans="1:10">
      <c r="A21" s="496" t="s">
        <v>339</v>
      </c>
      <c r="B21" s="497"/>
      <c r="C21" s="497"/>
      <c r="D21" s="497"/>
      <c r="E21" s="497"/>
      <c r="F21" s="497"/>
      <c r="G21" s="497"/>
      <c r="H21" s="497"/>
      <c r="I21" s="497" t="s">
        <v>340</v>
      </c>
      <c r="J21" s="498" t="s">
        <v>341</v>
      </c>
    </row>
    <row r="22" spans="1:10">
      <c r="A22" s="496"/>
      <c r="B22" s="497"/>
      <c r="C22" s="497"/>
      <c r="D22" s="497"/>
      <c r="E22" s="497"/>
      <c r="F22" s="497"/>
      <c r="G22" s="497"/>
      <c r="H22" s="497"/>
      <c r="I22" s="497"/>
      <c r="J22" s="498"/>
    </row>
    <row r="23" spans="1:10" ht="14.25">
      <c r="A23" s="432" t="s">
        <v>359</v>
      </c>
      <c r="B23" s="433"/>
      <c r="C23" s="433"/>
      <c r="D23" s="433"/>
      <c r="E23" s="433"/>
      <c r="F23" s="433"/>
      <c r="G23" s="433"/>
      <c r="H23" s="433"/>
      <c r="I23" s="176" t="s">
        <v>353</v>
      </c>
      <c r="J23" s="259">
        <v>0.04</v>
      </c>
    </row>
    <row r="24" spans="1:10" ht="14.25">
      <c r="A24" s="432" t="s">
        <v>360</v>
      </c>
      <c r="B24" s="433"/>
      <c r="C24" s="433"/>
      <c r="D24" s="433"/>
      <c r="E24" s="433"/>
      <c r="F24" s="433"/>
      <c r="G24" s="433"/>
      <c r="H24" s="433"/>
      <c r="I24" s="176" t="s">
        <v>354</v>
      </c>
      <c r="J24" s="259">
        <v>8.0000000000000002E-3</v>
      </c>
    </row>
    <row r="25" spans="1:10" ht="14.25">
      <c r="A25" s="432" t="s">
        <v>361</v>
      </c>
      <c r="B25" s="433"/>
      <c r="C25" s="433"/>
      <c r="D25" s="433"/>
      <c r="E25" s="433"/>
      <c r="F25" s="433"/>
      <c r="G25" s="433"/>
      <c r="H25" s="433"/>
      <c r="I25" s="176" t="s">
        <v>355</v>
      </c>
      <c r="J25" s="259">
        <v>1.2699999999999999E-2</v>
      </c>
    </row>
    <row r="26" spans="1:10" ht="14.25">
      <c r="A26" s="432" t="s">
        <v>362</v>
      </c>
      <c r="B26" s="433"/>
      <c r="C26" s="433"/>
      <c r="D26" s="433"/>
      <c r="E26" s="433"/>
      <c r="F26" s="433"/>
      <c r="G26" s="433"/>
      <c r="H26" s="433"/>
      <c r="I26" s="176" t="s">
        <v>356</v>
      </c>
      <c r="J26" s="259">
        <v>1.23E-2</v>
      </c>
    </row>
    <row r="27" spans="1:10" ht="14.25">
      <c r="A27" s="432" t="s">
        <v>363</v>
      </c>
      <c r="B27" s="433"/>
      <c r="C27" s="433"/>
      <c r="D27" s="433"/>
      <c r="E27" s="433"/>
      <c r="F27" s="433"/>
      <c r="G27" s="433"/>
      <c r="H27" s="433"/>
      <c r="I27" s="176" t="s">
        <v>357</v>
      </c>
      <c r="J27" s="259">
        <v>7.3999999999999996E-2</v>
      </c>
    </row>
    <row r="28" spans="1:10" ht="14.25">
      <c r="A28" s="432" t="s">
        <v>342</v>
      </c>
      <c r="B28" s="433"/>
      <c r="C28" s="433"/>
      <c r="D28" s="433"/>
      <c r="E28" s="433"/>
      <c r="F28" s="433"/>
      <c r="G28" s="433"/>
      <c r="H28" s="433"/>
      <c r="I28" s="176" t="s">
        <v>343</v>
      </c>
      <c r="J28" s="259">
        <v>3.6499999999999998E-2</v>
      </c>
    </row>
    <row r="29" spans="1:10">
      <c r="A29" s="432" t="s">
        <v>344</v>
      </c>
      <c r="B29" s="433"/>
      <c r="C29" s="433"/>
      <c r="D29" s="433"/>
      <c r="E29" s="433"/>
      <c r="F29" s="433"/>
      <c r="G29" s="433"/>
      <c r="H29" s="433"/>
      <c r="I29" s="176" t="s">
        <v>345</v>
      </c>
      <c r="J29" s="177">
        <v>0.05</v>
      </c>
    </row>
    <row r="30" spans="1:10" ht="12.75" customHeight="1">
      <c r="A30" s="434" t="s">
        <v>346</v>
      </c>
      <c r="B30" s="434"/>
      <c r="C30" s="434"/>
      <c r="D30" s="434"/>
      <c r="E30" s="434"/>
      <c r="F30" s="434"/>
      <c r="G30" s="434"/>
      <c r="H30" s="434"/>
      <c r="I30" s="260" t="s">
        <v>347</v>
      </c>
      <c r="J30" s="261">
        <v>0.2354</v>
      </c>
    </row>
    <row r="31" spans="1:10" ht="12.75" customHeight="1">
      <c r="A31" s="438"/>
      <c r="B31" s="439"/>
      <c r="C31" s="439"/>
      <c r="D31" s="439"/>
      <c r="E31" s="439"/>
      <c r="F31" s="439"/>
      <c r="G31" s="439"/>
      <c r="H31" s="439"/>
      <c r="I31" s="439"/>
      <c r="J31" s="440"/>
    </row>
    <row r="32" spans="1:10" ht="12.75" customHeight="1">
      <c r="A32" s="438"/>
      <c r="B32" s="439"/>
      <c r="C32" s="439"/>
      <c r="D32" s="439"/>
      <c r="E32" s="439"/>
      <c r="F32" s="439"/>
      <c r="G32" s="439"/>
      <c r="H32" s="439"/>
      <c r="I32" s="439"/>
      <c r="J32" s="440"/>
    </row>
    <row r="33" spans="1:10" ht="12.75" customHeight="1">
      <c r="A33" s="438"/>
      <c r="B33" s="439"/>
      <c r="C33" s="439"/>
      <c r="D33" s="439"/>
      <c r="E33" s="439"/>
      <c r="F33" s="439"/>
      <c r="G33" s="439"/>
      <c r="H33" s="439"/>
      <c r="I33" s="439"/>
      <c r="J33" s="440"/>
    </row>
    <row r="34" spans="1:10">
      <c r="A34" s="435" t="s">
        <v>348</v>
      </c>
      <c r="B34" s="436"/>
      <c r="C34" s="436"/>
      <c r="D34" s="436"/>
      <c r="E34" s="436"/>
      <c r="F34" s="436"/>
      <c r="G34" s="436"/>
      <c r="H34" s="436"/>
      <c r="I34" s="436"/>
      <c r="J34" s="437"/>
    </row>
    <row r="35" spans="1:10">
      <c r="A35" s="178"/>
      <c r="B35" s="179"/>
      <c r="C35" s="179"/>
      <c r="D35" s="444" t="s">
        <v>349</v>
      </c>
      <c r="E35" s="445" t="s">
        <v>358</v>
      </c>
      <c r="F35" s="445"/>
      <c r="G35" s="445"/>
      <c r="H35" s="446" t="s">
        <v>350</v>
      </c>
      <c r="I35" s="179"/>
      <c r="J35" s="180"/>
    </row>
    <row r="36" spans="1:10">
      <c r="A36" s="178"/>
      <c r="B36" s="179"/>
      <c r="C36" s="179"/>
      <c r="D36" s="444"/>
      <c r="E36" s="447" t="s">
        <v>351</v>
      </c>
      <c r="F36" s="447"/>
      <c r="G36" s="447"/>
      <c r="H36" s="446"/>
      <c r="I36" s="179"/>
      <c r="J36" s="180"/>
    </row>
    <row r="37" spans="1:10" ht="12.75" customHeight="1">
      <c r="A37" s="457"/>
      <c r="B37" s="458"/>
      <c r="C37" s="458"/>
      <c r="D37" s="458"/>
      <c r="E37" s="458"/>
      <c r="F37" s="458"/>
      <c r="G37" s="458"/>
      <c r="H37" s="458"/>
      <c r="I37" s="458"/>
      <c r="J37" s="459"/>
    </row>
    <row r="38" spans="1:10" ht="12.75" customHeight="1">
      <c r="A38" s="457"/>
      <c r="B38" s="458"/>
      <c r="C38" s="458"/>
      <c r="D38" s="458"/>
      <c r="E38" s="458"/>
      <c r="F38" s="458"/>
      <c r="G38" s="458"/>
      <c r="H38" s="458"/>
      <c r="I38" s="458"/>
      <c r="J38" s="459"/>
    </row>
    <row r="39" spans="1:10" ht="12.75" customHeight="1">
      <c r="A39" s="457"/>
      <c r="B39" s="458"/>
      <c r="C39" s="458"/>
      <c r="D39" s="458"/>
      <c r="E39" s="458"/>
      <c r="F39" s="458"/>
      <c r="G39" s="458"/>
      <c r="H39" s="458"/>
      <c r="I39" s="458"/>
      <c r="J39" s="459"/>
    </row>
    <row r="40" spans="1:10" ht="12.75" customHeight="1">
      <c r="A40" s="466"/>
      <c r="B40" s="467"/>
      <c r="C40" s="467"/>
      <c r="D40" s="467"/>
      <c r="E40" s="467"/>
      <c r="F40" s="467"/>
      <c r="G40" s="467"/>
      <c r="H40" s="467"/>
      <c r="I40" s="467"/>
      <c r="J40" s="468"/>
    </row>
    <row r="41" spans="1:10" ht="25.5" customHeight="1">
      <c r="A41" s="460" t="s">
        <v>878</v>
      </c>
      <c r="B41" s="461"/>
      <c r="C41" s="461"/>
      <c r="D41" s="461"/>
      <c r="E41" s="461"/>
      <c r="F41" s="461"/>
      <c r="G41" s="461"/>
      <c r="H41" s="461"/>
      <c r="I41" s="461"/>
      <c r="J41" s="462"/>
    </row>
    <row r="42" spans="1:10" ht="12.75" customHeight="1">
      <c r="A42" s="463"/>
      <c r="B42" s="464"/>
      <c r="C42" s="464"/>
      <c r="D42" s="464"/>
      <c r="E42" s="464"/>
      <c r="F42" s="464"/>
      <c r="G42" s="464"/>
      <c r="H42" s="464"/>
      <c r="I42" s="464"/>
      <c r="J42" s="465"/>
    </row>
    <row r="43" spans="1:10" ht="12.75" customHeight="1">
      <c r="A43" s="469"/>
      <c r="B43" s="470"/>
      <c r="C43" s="470"/>
      <c r="D43" s="470"/>
      <c r="E43" s="470"/>
      <c r="F43" s="470"/>
      <c r="G43" s="470"/>
      <c r="H43" s="470"/>
      <c r="I43" s="470"/>
      <c r="J43" s="471"/>
    </row>
    <row r="44" spans="1:10" ht="12.75" customHeight="1">
      <c r="A44" s="441"/>
      <c r="B44" s="442"/>
      <c r="C44" s="442"/>
      <c r="D44" s="442"/>
      <c r="E44" s="442"/>
      <c r="F44" s="442"/>
      <c r="G44" s="442"/>
      <c r="H44" s="442"/>
      <c r="I44" s="442"/>
      <c r="J44" s="443"/>
    </row>
    <row r="45" spans="1:10" ht="27.75" customHeight="1">
      <c r="A45" s="460" t="s">
        <v>879</v>
      </c>
      <c r="B45" s="461"/>
      <c r="C45" s="461"/>
      <c r="D45" s="461"/>
      <c r="E45" s="461"/>
      <c r="F45" s="461"/>
      <c r="G45" s="461"/>
      <c r="H45" s="461"/>
      <c r="I45" s="461"/>
      <c r="J45" s="462"/>
    </row>
    <row r="46" spans="1:10" ht="12.75" customHeight="1">
      <c r="A46" s="429"/>
      <c r="B46" s="430"/>
      <c r="C46" s="430"/>
      <c r="D46" s="430"/>
      <c r="E46" s="430"/>
      <c r="F46" s="430"/>
      <c r="G46" s="430"/>
      <c r="H46" s="430"/>
      <c r="I46" s="430"/>
      <c r="J46" s="431"/>
    </row>
    <row r="47" spans="1:10" ht="12.75" customHeight="1">
      <c r="A47" s="426"/>
      <c r="B47" s="427"/>
      <c r="C47" s="427"/>
      <c r="D47" s="427"/>
      <c r="E47" s="427"/>
      <c r="F47" s="427"/>
      <c r="G47" s="427"/>
      <c r="H47" s="427"/>
      <c r="I47" s="427"/>
      <c r="J47" s="428"/>
    </row>
    <row r="48" spans="1:10" ht="12.75" customHeight="1">
      <c r="A48" s="426"/>
      <c r="B48" s="427"/>
      <c r="C48" s="427"/>
      <c r="D48" s="427"/>
      <c r="E48" s="427"/>
      <c r="F48" s="427"/>
      <c r="G48" s="427"/>
      <c r="H48" s="427"/>
      <c r="I48" s="427"/>
      <c r="J48" s="428"/>
    </row>
    <row r="49" spans="1:17" ht="12.75" customHeight="1">
      <c r="A49" s="426"/>
      <c r="B49" s="427"/>
      <c r="C49" s="427"/>
      <c r="D49" s="427"/>
      <c r="E49" s="427"/>
      <c r="F49" s="427"/>
      <c r="G49" s="427"/>
      <c r="H49" s="427"/>
      <c r="I49" s="427"/>
      <c r="J49" s="428"/>
    </row>
    <row r="50" spans="1:17" ht="12.75" customHeight="1">
      <c r="A50" s="426"/>
      <c r="B50" s="427"/>
      <c r="C50" s="427"/>
      <c r="D50" s="427"/>
      <c r="E50" s="427"/>
      <c r="F50" s="427"/>
      <c r="G50" s="427"/>
      <c r="H50" s="427"/>
      <c r="I50" s="427"/>
      <c r="J50" s="428"/>
    </row>
    <row r="51" spans="1:17" ht="12.75" customHeight="1">
      <c r="A51" s="426"/>
      <c r="B51" s="427"/>
      <c r="C51" s="427"/>
      <c r="D51" s="427"/>
      <c r="E51" s="427"/>
      <c r="F51" s="427"/>
      <c r="G51" s="427"/>
      <c r="H51" s="427"/>
      <c r="I51" s="427"/>
      <c r="J51" s="428"/>
    </row>
    <row r="52" spans="1:17" ht="12.75" customHeight="1">
      <c r="A52" s="426"/>
      <c r="B52" s="427"/>
      <c r="C52" s="427"/>
      <c r="D52" s="427"/>
      <c r="E52" s="427"/>
      <c r="F52" s="427"/>
      <c r="G52" s="427"/>
      <c r="H52" s="427"/>
      <c r="I52" s="427"/>
      <c r="J52" s="428"/>
    </row>
    <row r="53" spans="1:17" s="56" customFormat="1" ht="12.75" customHeight="1">
      <c r="A53" s="275"/>
      <c r="B53" s="276"/>
      <c r="C53" s="276"/>
      <c r="D53" s="276"/>
      <c r="E53" s="276"/>
      <c r="F53" s="276"/>
      <c r="G53" s="276"/>
      <c r="H53" s="276"/>
      <c r="I53" s="276"/>
      <c r="J53" s="277"/>
    </row>
    <row r="54" spans="1:17" s="56" customFormat="1" ht="19.5" customHeight="1">
      <c r="A54" s="451" t="s">
        <v>178</v>
      </c>
      <c r="B54" s="452"/>
      <c r="C54" s="452"/>
      <c r="D54" s="452"/>
      <c r="E54" s="452"/>
      <c r="F54" s="452"/>
      <c r="G54" s="452"/>
      <c r="H54" s="452"/>
      <c r="I54" s="452"/>
      <c r="J54" s="453"/>
      <c r="K54" s="48"/>
      <c r="L54" s="48"/>
      <c r="M54" s="48"/>
      <c r="N54" s="48"/>
      <c r="O54" s="48"/>
      <c r="P54" s="48"/>
      <c r="Q54" s="48"/>
    </row>
    <row r="55" spans="1:17" s="56" customFormat="1" ht="19.5" customHeight="1">
      <c r="A55" s="451" t="s">
        <v>29</v>
      </c>
      <c r="B55" s="452"/>
      <c r="C55" s="452"/>
      <c r="D55" s="452"/>
      <c r="E55" s="452"/>
      <c r="F55" s="452"/>
      <c r="G55" s="452"/>
      <c r="H55" s="452"/>
      <c r="I55" s="452"/>
      <c r="J55" s="453"/>
      <c r="K55" s="48"/>
      <c r="L55" s="48"/>
      <c r="M55" s="48"/>
      <c r="N55" s="48"/>
      <c r="O55" s="48"/>
      <c r="P55" s="48"/>
      <c r="Q55" s="48"/>
    </row>
    <row r="56" spans="1:17" s="56" customFormat="1" ht="18.75" customHeight="1">
      <c r="A56" s="451" t="s">
        <v>30</v>
      </c>
      <c r="B56" s="452"/>
      <c r="C56" s="452"/>
      <c r="D56" s="452"/>
      <c r="E56" s="452"/>
      <c r="F56" s="452"/>
      <c r="G56" s="452"/>
      <c r="H56" s="452"/>
      <c r="I56" s="452"/>
      <c r="J56" s="453"/>
      <c r="K56" s="58"/>
      <c r="L56" s="58"/>
      <c r="M56" s="58"/>
      <c r="N56" s="58"/>
      <c r="O56" s="58"/>
      <c r="P56" s="58"/>
      <c r="Q56" s="58"/>
    </row>
    <row r="57" spans="1:17" s="56" customFormat="1">
      <c r="A57" s="454"/>
      <c r="B57" s="455"/>
      <c r="C57" s="455"/>
      <c r="D57" s="455"/>
      <c r="E57" s="455"/>
      <c r="F57" s="455"/>
      <c r="G57" s="455"/>
      <c r="H57" s="455"/>
      <c r="I57" s="455"/>
      <c r="J57" s="456"/>
    </row>
  </sheetData>
  <mergeCells count="64">
    <mergeCell ref="A28:H28"/>
    <mergeCell ref="I11:J11"/>
    <mergeCell ref="A16:J16"/>
    <mergeCell ref="A21:H22"/>
    <mergeCell ref="I21:I22"/>
    <mergeCell ref="J21:J22"/>
    <mergeCell ref="A12:J12"/>
    <mergeCell ref="A23:H23"/>
    <mergeCell ref="A24:H24"/>
    <mergeCell ref="A25:H25"/>
    <mergeCell ref="A26:H26"/>
    <mergeCell ref="A27:H27"/>
    <mergeCell ref="A15:J15"/>
    <mergeCell ref="A18:J18"/>
    <mergeCell ref="A20:J20"/>
    <mergeCell ref="A19:J19"/>
    <mergeCell ref="A17:J17"/>
    <mergeCell ref="A1:B1"/>
    <mergeCell ref="C1:J1"/>
    <mergeCell ref="A3:H3"/>
    <mergeCell ref="A2:J2"/>
    <mergeCell ref="A4:J4"/>
    <mergeCell ref="A5:J5"/>
    <mergeCell ref="D7:J7"/>
    <mergeCell ref="A14:J14"/>
    <mergeCell ref="A10:H10"/>
    <mergeCell ref="I10:J10"/>
    <mergeCell ref="A11:H11"/>
    <mergeCell ref="A8:J8"/>
    <mergeCell ref="A13:J13"/>
    <mergeCell ref="A6:J6"/>
    <mergeCell ref="A7:C7"/>
    <mergeCell ref="A9:J9"/>
    <mergeCell ref="A54:J54"/>
    <mergeCell ref="A55:J55"/>
    <mergeCell ref="A56:J56"/>
    <mergeCell ref="A57:J57"/>
    <mergeCell ref="A37:J37"/>
    <mergeCell ref="A53:J53"/>
    <mergeCell ref="A41:J41"/>
    <mergeCell ref="A45:J45"/>
    <mergeCell ref="A38:J38"/>
    <mergeCell ref="A39:J39"/>
    <mergeCell ref="A42:J42"/>
    <mergeCell ref="A52:J52"/>
    <mergeCell ref="A40:J40"/>
    <mergeCell ref="A51:J51"/>
    <mergeCell ref="A43:J43"/>
    <mergeCell ref="A44:J44"/>
    <mergeCell ref="D35:D36"/>
    <mergeCell ref="E35:G35"/>
    <mergeCell ref="H35:H36"/>
    <mergeCell ref="E36:G36"/>
    <mergeCell ref="A29:H29"/>
    <mergeCell ref="A30:H30"/>
    <mergeCell ref="A34:J34"/>
    <mergeCell ref="A31:J31"/>
    <mergeCell ref="A32:J32"/>
    <mergeCell ref="A33:J33"/>
    <mergeCell ref="A47:J47"/>
    <mergeCell ref="A48:J48"/>
    <mergeCell ref="A49:J49"/>
    <mergeCell ref="A50:J50"/>
    <mergeCell ref="A46:J46"/>
  </mergeCells>
  <conditionalFormatting sqref="J30">
    <cfRule type="expression" dxfId="0" priority="3" stopIfTrue="1">
      <formula>DESONERACAO="não"</formula>
    </cfRule>
  </conditionalFormatting>
  <dataValidations count="4">
    <dataValidation type="decimal" allowBlank="1" showInputMessage="1" showErrorMessage="1" errorTitle="Valor não permitido" error="Digite um percentual entre 0% e 100%." promptTitle="Valores admissíveis:" prompt="Insira valores entre 0 e 100%." sqref="I10:J10" xr:uid="{A148652A-A217-414F-AE30-5D200DA244AD}">
      <formula1>0</formula1>
      <formula2>1</formula2>
    </dataValidation>
    <dataValidation type="decimal" operator="greaterThanOrEqual" allowBlank="1" showInputMessage="1" showErrorMessage="1" errorTitle="Valor não permitido" error="Digite um percentual entre 0% e 100%." promptTitle="Valores comuns:" prompt="Normalmente entre 2 e 5%." sqref="I11:J11" xr:uid="{4399C5F1-734B-438F-AC1F-043B73C39FDF}">
      <formula1>0</formula1>
      <formula2>0</formula2>
    </dataValidation>
    <dataValidation type="decimal" allowBlank="1" showErrorMessage="1" errorTitle="Erro de valores" error="Digite um valor maior do que 0." sqref="J29" xr:uid="{B9C2E25D-CA02-42B7-A615-3EC23F2B23C5}">
      <formula1>0</formula1>
      <formula2>1</formula2>
    </dataValidation>
    <dataValidation type="decimal" allowBlank="1" showErrorMessage="1" errorTitle="Erro de valores" error="Digite um valor entre 0% e 100%" sqref="J23:J28" xr:uid="{9B7CFA4A-5A75-443E-A88D-F0504D0819DF}">
      <formula1>0</formula1>
      <formula2>1</formula2>
    </dataValidation>
  </dataValidations>
  <printOptions horizontalCentered="1"/>
  <pageMargins left="0.51181102362204722" right="0.51181102362204722" top="0.78740157480314965" bottom="0.78740157480314965"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ORÇAMENTO</vt:lpstr>
      <vt:lpstr>CRONOGRAMA</vt:lpstr>
      <vt:lpstr>COMPOSIÇÃO</vt:lpstr>
      <vt:lpstr>MEMORIA DE CÁLCULO</vt:lpstr>
      <vt:lpstr>BDI</vt:lpstr>
      <vt:lpstr>COMPOSIÇÃO!Area_de_impressao</vt:lpstr>
      <vt:lpstr>CRONOGRAMA!Area_de_impressao</vt:lpstr>
      <vt:lpstr>'MEMORIA DE CÁLCULO'!Area_de_impressao</vt:lpstr>
      <vt:lpstr>ORÇAMENTO!Area_de_impressao</vt:lpstr>
    </vt:vector>
  </TitlesOfParts>
  <Company>EMPRESARIAL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2026-01-30T16:53:57Z</cp:lastPrinted>
  <dcterms:created xsi:type="dcterms:W3CDTF">2010-03-02T12:32:19Z</dcterms:created>
  <dcterms:modified xsi:type="dcterms:W3CDTF">2026-02-05T12:43:04Z</dcterms:modified>
</cp:coreProperties>
</file>